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autoCompressPictures="0"/>
  <mc:AlternateContent xmlns:mc="http://schemas.openxmlformats.org/markup-compatibility/2006">
    <mc:Choice Requires="x15">
      <x15ac:absPath xmlns:x15ac="http://schemas.microsoft.com/office/spreadsheetml/2010/11/ac" url="C:\Users\vogemalt\Desktop\Diverses aktuelles\Aktuelle Statements\CM\"/>
    </mc:Choice>
  </mc:AlternateContent>
  <xr:revisionPtr revIDLastSave="0" documentId="13_ncr:1_{1F79263D-CE37-4397-B2F7-979C5686A33C}"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08" yWindow="-108" windowWidth="23256" windowHeight="12576"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5" i="5"/>
  <c r="B5" i="5"/>
  <c r="C11" i="6"/>
  <c r="C10"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<sst xmlns="http://schemas.openxmlformats.org/spreadsheetml/2006/main" count="17125" uniqueCount="14064">
  <si>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</si>
  <si>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</si>
  <si>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</si>
  <si>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</si>
  <si>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</si>
  <si>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</si>
  <si>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</si>
  <si>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</si>
  <si>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</si>
  <si>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</si>
  <si>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</si>
  <si>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</si>
  <si>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</si>
  <si>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</si>
  <si>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</si>
  <si>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</si>
  <si>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</si>
  <si>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</si>
  <si>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</si>
  <si>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</si>
  <si>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</si>
  <si>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</si>
  <si>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</si>
  <si>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</si>
  <si>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</si>
  <si>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</si>
  <si>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</si>
  <si>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</si>
  <si>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</si>
  <si>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</si>
  <si>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</si>
  <si>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</si>
  <si>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</si>
  <si>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</si>
  <si>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</si>
  <si>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</si>
  <si>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</si>
  <si>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</si>
  <si>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</si>
  <si>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</si>
  <si>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</si>
  <si>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</si>
  <si>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</si>
  <si>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</si>
  <si>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</si>
  <si>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</si>
  <si>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</si>
  <si>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</si>
  <si>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</si>
  <si>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</si>
  <si>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</si>
  <si>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</si>
  <si>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</si>
  <si>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</si>
  <si>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</si>
  <si>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</si>
  <si>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</si>
  <si>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</si>
  <si>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</si>
  <si>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</si>
  <si>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</si>
  <si>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</si>
  <si>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</si>
  <si>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</si>
  <si>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</si>
  <si>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</si>
  <si>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</si>
  <si>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</si>
  <si>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</si>
  <si>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</si>
  <si>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</si>
  <si>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</si>
  <si>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</si>
  <si>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</si>
  <si>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</si>
  <si>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</si>
  <si>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</si>
  <si>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</si>
  <si>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</si>
  <si>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</si>
  <si>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</si>
  <si>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</si>
  <si>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</si>
  <si>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</si>
  <si>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</si>
  <si>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</si>
  <si>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</si>
  <si>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</si>
  <si>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</si>
  <si>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</si>
  <si>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</si>
  <si>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</si>
  <si>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</si>
  <si>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</si>
  <si>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</si>
  <si>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</si>
  <si>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</si>
  <si>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</si>
  <si>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</si>
  <si>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</si>
  <si>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</si>
  <si>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</si>
  <si>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</si>
  <si>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</si>
  <si>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</si>
  <si>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</si>
  <si>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</si>
  <si>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</si>
  <si>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</si>
  <si>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</si>
  <si>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</si>
  <si>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</si>
  <si>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</si>
  <si>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</si>
  <si>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</si>
  <si>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</si>
  <si>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</si>
  <si>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</si>
  <si>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</si>
  <si>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</si>
  <si>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</si>
  <si>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</si>
  <si>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</si>
  <si>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</si>
  <si>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</si>
  <si>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</si>
  <si>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</si>
  <si>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</si>
  <si>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</si>
  <si>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</si>
  <si>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</si>
  <si>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</si>
  <si>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</si>
  <si>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</si>
  <si>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</si>
  <si>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</si>
  <si>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</si>
  <si>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</si>
  <si>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</si>
  <si>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</si>
  <si>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</si>
  <si>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</si>
  <si>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</si>
  <si>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</si>
  <si>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</si>
  <si>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</si>
  <si>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</si>
  <si>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</si>
  <si>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</si>
  <si>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</si>
  <si>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</si>
  <si>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</si>
  <si>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</si>
  <si>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</si>
  <si>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</si>
  <si>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</si>
  <si>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</si>
  <si>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</si>
  <si>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</si>
  <si>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</si>
  <si>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</si>
  <si>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</si>
  <si>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</si>
  <si>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</si>
  <si>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</si>
  <si>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</si>
  <si>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</si>
  <si>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</si>
  <si>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</si>
  <si>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</si>
  <si>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</si>
  <si>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</si>
  <si>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</si>
  <si>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</si>
  <si>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</si>
  <si>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</si>
  <si>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</si>
  <si>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</si>
  <si>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</si>
  <si>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</si>
  <si>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</si>
  <si>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</si>
  <si>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</si>
  <si>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</si>
  <si>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</si>
  <si>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</si>
  <si>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</si>
  <si>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</si>
  <si>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</si>
  <si>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</si>
  <si>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</si>
  <si>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</si>
  <si>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</si>
  <si>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</si>
  <si>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</si>
  <si>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</si>
  <si>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</si>
  <si>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</si>
  <si>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</si>
  <si>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</si>
  <si>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</si>
  <si>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</si>
  <si>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</si>
  <si>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</si>
  <si>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</si>
  <si>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</si>
  <si>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</si>
  <si>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</si>
  <si>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</si>
  <si>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</si>
  <si>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</si>
  <si>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</si>
  <si>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</si>
  <si>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</si>
  <si>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</si>
  <si>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</si>
  <si>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</si>
  <si>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</si>
  <si>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</si>
  <si>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</si>
  <si>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</si>
  <si>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</si>
  <si>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</si>
  <si>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</si>
  <si>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</si>
  <si>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</si>
  <si>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</si>
  <si>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</si>
  <si>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</si>
  <si>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</si>
  <si>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</si>
  <si>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</si>
  <si>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</si>
  <si>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</si>
  <si>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</si>
  <si>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</si>
  <si>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</si>
  <si>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</si>
  <si>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</si>
  <si>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</si>
  <si>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</si>
  <si>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</si>
  <si>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</si>
  <si>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</si>
  <si>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</si>
  <si>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</si>
  <si>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</si>
  <si>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</si>
  <si>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</si>
  <si>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</si>
  <si>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</si>
  <si>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</si>
  <si>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</si>
  <si>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</si>
  <si>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</si>
  <si>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</si>
  <si>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</si>
  <si>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</si>
  <si>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</si>
  <si>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</si>
  <si>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</si>
  <si>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</si>
  <si>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</si>
  <si>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</si>
  <si>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</si>
  <si>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</si>
  <si>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</si>
  <si>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</si>
  <si>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</si>
  <si>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</si>
  <si>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</si>
  <si>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</si>
  <si>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</si>
  <si>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</si>
  <si>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</si>
  <si>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</si>
  <si>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</si>
  <si>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</si>
  <si>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</si>
  <si>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</si>
  <si>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</si>
  <si>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</si>
  <si>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</si>
  <si>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</si>
  <si>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</si>
  <si>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</si>
  <si>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</si>
  <si>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</si>
  <si>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</si>
  <si>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</si>
  <si>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</si>
  <si>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</si>
  <si>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</si>
  <si>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</si>
  <si>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</si>
  <si>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</si>
  <si>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</si>
  <si>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</si>
  <si>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</si>
  <si>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</si>
  <si>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</si>
  <si>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</si>
  <si>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</si>
  <si>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</si>
  <si>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</si>
  <si>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</si>
  <si>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</si>
  <si>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</si>
  <si>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</si>
  <si>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</si>
  <si>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</si>
  <si>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</si>
  <si>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</si>
  <si>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</si>
  <si>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</si>
  <si>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</si>
  <si>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</si>
  <si>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</si>
  <si>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</si>
  <si>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</si>
  <si>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</si>
  <si>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</si>
  <si>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</si>
  <si>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</si>
  <si>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</si>
  <si>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</si>
  <si>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</si>
  <si>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</si>
  <si>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</si>
  <si>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</si>
  <si>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</si>
  <si>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</si>
  <si>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</si>
  <si>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</si>
  <si>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</si>
  <si>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</si>
  <si>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</si>
  <si>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</si>
  <si>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</si>
  <si>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</si>
  <si>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</si>
  <si>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</si>
  <si>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</si>
  <si>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</si>
  <si>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</si>
  <si>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</si>
  <si>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</si>
  <si>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</si>
  <si>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</si>
  <si>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</si>
  <si>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</si>
  <si>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</si>
  <si>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</si>
  <si>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</si>
  <si>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</si>
  <si>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</si>
  <si>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</si>
  <si>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</si>
  <si>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</si>
  <si>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</si>
  <si>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</si>
  <si>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</si>
  <si>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</si>
  <si>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</si>
  <si>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</si>
  <si>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</si>
  <si>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</si>
  <si>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</si>
  <si>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</si>
  <si>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</si>
  <si>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</si>
  <si>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</si>
  <si>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</si>
  <si>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</si>
  <si>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</si>
  <si>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</si>
  <si>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</si>
  <si>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</si>
  <si>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</si>
  <si>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</si>
  <si>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</si>
  <si>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</si>
  <si>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</si>
  <si>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</si>
  <si>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</si>
  <si>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</si>
  <si>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</si>
  <si>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</si>
  <si>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</si>
  <si>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</si>
  <si>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</si>
  <si>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</si>
  <si>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</si>
  <si>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</si>
  <si>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</si>
  <si>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</si>
  <si>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</si>
  <si>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</si>
  <si>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</si>
  <si>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</si>
  <si>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</si>
  <si>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</si>
  <si>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</si>
  <si>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</si>
  <si>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</si>
  <si>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</si>
  <si>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</si>
  <si>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</si>
  <si>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</si>
  <si>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</si>
  <si>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</si>
  <si>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</si>
  <si>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</si>
  <si>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</si>
  <si>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</si>
  <si>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</si>
  <si>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</si>
  <si>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</si>
  <si>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</si>
  <si>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</si>
  <si>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</si>
  <si>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</si>
  <si>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</si>
  <si>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</si>
  <si>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</si>
  <si>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</si>
  <si>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</si>
  <si>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</si>
  <si>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</si>
  <si>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</si>
  <si>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</si>
  <si>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</si>
  <si>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</si>
  <si>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</si>
  <si>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</si>
  <si>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</si>
  <si>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</si>
  <si>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</si>
  <si>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</si>
  <si>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</si>
  <si>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</si>
  <si>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</si>
  <si>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</si>
  <si>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</si>
  <si>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</si>
  <si>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</si>
  <si>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</si>
  <si>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</si>
  <si>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</si>
  <si>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</si>
  <si>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</si>
  <si>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</si>
  <si>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</si>
  <si>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</si>
  <si>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</si>
  <si>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</si>
  <si>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</si>
  <si>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</si>
  <si>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</si>
  <si>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</si>
  <si>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</si>
  <si>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</si>
  <si>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</si>
  <si>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</si>
  <si>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</si>
  <si>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</si>
  <si>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</si>
  <si>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</si>
  <si>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</si>
  <si>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</si>
  <si>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</si>
  <si>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</si>
  <si>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</si>
  <si>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</si>
  <si>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</si>
  <si>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</si>
  <si>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</si>
  <si>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</si>
  <si>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</si>
  <si>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</si>
  <si>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</si>
  <si>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</si>
  <si>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</si>
  <si>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</si>
  <si>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</si>
  <si>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</si>
  <si>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</si>
  <si>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</si>
  <si>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</si>
  <si>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</si>
  <si>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</si>
  <si>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</si>
  <si>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</si>
  <si>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</si>
  <si>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</si>
  <si>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</si>
  <si>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</si>
  <si>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</si>
  <si>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</si>
  <si>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</si>
  <si>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</si>
  <si>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</si>
  <si>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</si>
  <si>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</si>
  <si>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</si>
  <si>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</si>
  <si>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</si>
  <si>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</si>
  <si>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</si>
  <si>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</si>
  <si>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</si>
  <si>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</si>
  <si>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</si>
  <si>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</si>
  <si>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</si>
  <si>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</si>
  <si>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</si>
  <si>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</si>
  <si>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</si>
  <si>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</si>
  <si>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</si>
  <si>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</si>
  <si>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</si>
  <si>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</si>
  <si>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</si>
  <si>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</si>
  <si>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</si>
  <si>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</si>
  <si>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</si>
  <si>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</si>
  <si>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</si>
  <si>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</si>
  <si>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</si>
  <si>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</si>
  <si>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</si>
  <si>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</si>
  <si>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</si>
  <si>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</si>
  <si>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</si>
  <si>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</si>
  <si>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</si>
  <si>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</si>
  <si>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</si>
  <si>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</si>
  <si>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</si>
  <si>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</si>
  <si>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</si>
  <si>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</si>
  <si>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</si>
  <si>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</si>
  <si>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</si>
  <si>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</si>
  <si>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</si>
  <si>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</si>
  <si>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</si>
  <si>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</si>
  <si>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</si>
  <si>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</si>
  <si>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</si>
  <si>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</si>
  <si>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</si>
  <si>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</si>
  <si>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</si>
  <si>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</si>
  <si>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</si>
  <si>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</si>
  <si>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</si>
  <si>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</si>
  <si>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</si>
  <si>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</si>
  <si>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</si>
  <si>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</si>
  <si>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</si>
  <si>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</si>
  <si>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</si>
  <si>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</si>
  <si>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</si>
  <si>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</si>
  <si>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</si>
  <si>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</si>
  <si>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</si>
  <si>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</si>
  <si>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</si>
  <si>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</si>
  <si>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</si>
  <si>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</si>
  <si>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</si>
  <si>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</si>
  <si>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</si>
  <si>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</si>
  <si>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</si>
  <si>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</si>
  <si>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</si>
  <si>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</si>
  <si>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</si>
  <si>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</si>
  <si>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</si>
  <si>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</si>
  <si>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</si>
  <si>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</si>
  <si>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</si>
  <si>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</si>
  <si>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</si>
  <si>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</si>
  <si>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</si>
  <si>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</si>
  <si>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</si>
  <si>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</si>
  <si>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</si>
  <si>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</si>
  <si>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</si>
  <si>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</si>
  <si>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</si>
  <si>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</si>
  <si>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</si>
  <si>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</si>
  <si>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</si>
  <si>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</si>
  <si>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</si>
  <si>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</si>
  <si>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</si>
  <si>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</si>
  <si>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</si>
  <si>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</si>
  <si>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</si>
  <si>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</si>
  <si>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</si>
  <si>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</si>
  <si>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</si>
  <si>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</si>
  <si>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</si>
  <si>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</si>
  <si>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</si>
  <si>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</si>
  <si>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</si>
  <si>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</si>
  <si>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</si>
  <si>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</si>
  <si>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</si>
  <si>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</si>
  <si>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</si>
  <si>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</si>
  <si>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</si>
  <si>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</si>
  <si>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</si>
  <si>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</si>
  <si>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</si>
  <si>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</si>
  <si>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</si>
  <si>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</si>
  <si>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</si>
  <si>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</si>
  <si>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</si>
  <si>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</si>
  <si>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</si>
  <si>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</si>
  <si>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</si>
  <si>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</si>
  <si>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</si>
  <si>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</si>
  <si>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</si>
  <si>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</si>
  <si>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</si>
  <si>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</si>
  <si>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</si>
  <si>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</si>
  <si>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</si>
  <si>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</si>
  <si>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</si>
  <si>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</si>
  <si>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</si>
  <si>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</si>
  <si>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</si>
  <si>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</si>
  <si>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</si>
  <si>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</si>
  <si>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</si>
  <si>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</si>
  <si>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</si>
  <si>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</si>
  <si>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</si>
  <si>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</si>
  <si>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</si>
  <si>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</si>
  <si>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</si>
  <si>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</si>
  <si>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</si>
  <si>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</si>
  <si>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</si>
  <si>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</si>
  <si>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</si>
  <si>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</si>
  <si>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</si>
  <si>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</si>
  <si>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</si>
  <si>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</si>
  <si>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</si>
  <si>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</si>
  <si>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</si>
  <si>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</si>
  <si>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</si>
  <si>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</si>
  <si>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</si>
  <si>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</si>
  <si>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</si>
  <si>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</si>
  <si>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</si>
  <si>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</si>
  <si>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</si>
  <si>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</si>
  <si>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</si>
  <si>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</si>
  <si>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</si>
  <si>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</si>
  <si>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</si>
  <si>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</si>
  <si>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</si>
  <si>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</si>
  <si>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</si>
  <si>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</si>
  <si>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</si>
  <si>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</si>
  <si>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</si>
  <si>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</si>
  <si>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</si>
  <si>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</si>
  <si>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</si>
  <si>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</si>
  <si>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</si>
  <si>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</si>
  <si>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</si>
  <si>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</si>
  <si>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</si>
  <si>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</si>
  <si>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</si>
  <si>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</si>
  <si>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</si>
  <si>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</si>
  <si>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</si>
  <si>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</si>
  <si>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</si>
  <si>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</si>
  <si>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</si>
  <si>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</si>
  <si>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</si>
  <si>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</si>
  <si>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</si>
  <si>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</si>
  <si>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</si>
  <si>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</si>
  <si>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</si>
  <si>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</si>
  <si>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</si>
  <si>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</si>
  <si>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</si>
  <si>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</si>
  <si>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</si>
  <si>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</si>
  <si>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</si>
  <si>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</si>
  <si>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</si>
  <si>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</si>
  <si>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</si>
  <si>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</si>
  <si>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</si>
  <si>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</si>
  <si>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</si>
  <si>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</si>
  <si>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</si>
  <si>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</si>
  <si>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</si>
  <si>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</si>
  <si>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</si>
  <si>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</si>
  <si>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</si>
  <si>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</si>
  <si>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</si>
  <si>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</si>
  <si>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</si>
  <si>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</si>
  <si>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</si>
  <si>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</si>
  <si>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</si>
  <si>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</si>
  <si>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</si>
  <si>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</si>
  <si>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</si>
  <si>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</si>
  <si>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</si>
  <si>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</si>
  <si>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</si>
  <si>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</si>
  <si>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</si>
  <si>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</si>
  <si>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</si>
  <si>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</si>
  <si>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</si>
  <si>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</si>
  <si>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</si>
  <si>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</si>
  <si>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</si>
  <si>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</si>
  <si>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</si>
  <si>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</si>
  <si>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</si>
  <si>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</si>
  <si>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</si>
  <si>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</si>
  <si>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</si>
  <si>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</si>
  <si>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</si>
  <si>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</si>
  <si>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</si>
  <si>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</si>
  <si>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</si>
  <si>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</si>
  <si>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</si>
  <si>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</si>
  <si>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</si>
  <si>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</si>
  <si>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</si>
  <si>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</si>
  <si>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</si>
  <si>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</si>
  <si>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</si>
  <si>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</si>
  <si>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</si>
  <si>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</si>
  <si>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</si>
  <si>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</si>
  <si>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</si>
  <si>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</si>
  <si>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</si>
  <si>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</si>
  <si>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</si>
  <si>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</si>
  <si>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</si>
  <si>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</si>
  <si>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</si>
  <si>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</si>
  <si>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</si>
  <si>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</si>
  <si>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</si>
  <si>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</si>
  <si>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</si>
  <si>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</si>
  <si>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</si>
  <si>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</si>
  <si>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</si>
  <si>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</si>
  <si>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</si>
  <si>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</si>
  <si>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</si>
  <si>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</si>
  <si>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</si>
  <si>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</si>
  <si>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</si>
  <si>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</si>
  <si>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</si>
  <si>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</si>
  <si>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</si>
  <si>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</si>
  <si>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</si>
  <si>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</si>
  <si>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</si>
  <si>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</si>
  <si>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</si>
  <si>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</si>
  <si>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</si>
  <si>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</si>
  <si>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</si>
  <si>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</si>
  <si>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</si>
  <si>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</si>
  <si>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</si>
  <si>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</si>
  <si>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</si>
  <si>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</si>
  <si>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</si>
  <si>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</si>
  <si>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</si>
  <si>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</si>
  <si>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</si>
  <si>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</si>
  <si>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</si>
  <si>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</si>
  <si>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</si>
  <si>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</si>
  <si>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</si>
  <si>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</si>
  <si>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</si>
  <si>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</si>
  <si>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</si>
  <si>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</si>
  <si>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</si>
  <si>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</si>
  <si>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</si>
  <si>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</si>
  <si>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</si>
  <si>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</si>
  <si>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</si>
  <si>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</si>
  <si>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</si>
  <si>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</si>
  <si>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</si>
  <si>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</si>
  <si>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</si>
  <si>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</si>
  <si>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</si>
  <si>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</si>
  <si>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</si>
  <si>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</si>
  <si>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</si>
  <si>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</si>
  <si>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</si>
  <si>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</si>
  <si>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</si>
  <si>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</si>
  <si>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</si>
  <si>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</si>
  <si>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</si>
  <si>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</si>
  <si>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</si>
  <si>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</si>
  <si>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</si>
  <si>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</si>
  <si>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</si>
  <si>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</si>
  <si>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</si>
  <si>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</si>
  <si>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</si>
  <si>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</si>
  <si>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</si>
  <si>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</si>
  <si>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</si>
  <si>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</si>
  <si>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</si>
  <si>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</si>
  <si>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</si>
  <si>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</si>
  <si>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</si>
  <si>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</si>
  <si>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</si>
  <si>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</si>
  <si>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</si>
  <si>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</si>
  <si>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</si>
  <si>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</si>
  <si>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</si>
  <si>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</si>
  <si>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</si>
  <si>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</si>
  <si>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</si>
  <si>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</si>
  <si>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</si>
  <si>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</si>
  <si>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</si>
  <si>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</si>
  <si>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</si>
  <si>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</si>
  <si>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</si>
  <si>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</si>
  <si>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</si>
  <si>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</si>
  <si>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</si>
  <si>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</si>
  <si>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</si>
  <si>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</si>
  <si>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</si>
  <si>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</si>
  <si>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</si>
  <si>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</si>
  <si>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</si>
  <si>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</si>
  <si>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</si>
  <si>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</si>
  <si>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</si>
  <si>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</si>
  <si>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</si>
  <si>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</si>
  <si>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</si>
  <si>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</si>
  <si>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</si>
  <si>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</si>
  <si>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</si>
  <si>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</si>
  <si>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</si>
  <si>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</si>
  <si>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</si>
  <si>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</si>
  <si>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</si>
  <si>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</si>
  <si>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</si>
  <si>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</si>
  <si>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</si>
  <si>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</si>
  <si>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</si>
  <si>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</si>
  <si>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</si>
  <si>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</si>
  <si>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</si>
  <si>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</si>
  <si>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</si>
  <si>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</si>
  <si>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</si>
  <si>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</si>
  <si>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</si>
  <si>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</si>
  <si>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</si>
  <si>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</si>
  <si>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</si>
  <si>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</si>
  <si>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</si>
  <si>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</si>
  <si>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</si>
  <si>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</si>
  <si>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</si>
  <si>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</si>
  <si>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</si>
  <si>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</si>
  <si>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</si>
  <si>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</si>
  <si>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</si>
  <si>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</si>
  <si>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</si>
  <si>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</si>
  <si>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</si>
  <si>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</si>
  <si>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</si>
  <si>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</si>
  <si>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</si>
  <si>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</si>
  <si>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</si>
  <si>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</si>
  <si>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</si>
  <si>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</si>
  <si>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</si>
  <si>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</si>
  <si>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</si>
  <si>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</si>
  <si>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</si>
  <si>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</si>
  <si>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</si>
  <si>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</si>
  <si>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</si>
  <si>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</si>
  <si>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</si>
  <si>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</si>
  <si>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</si>
  <si>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</si>
  <si>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</si>
  <si>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</si>
  <si>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</si>
  <si>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</si>
  <si>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</si>
  <si>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</si>
  <si>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</si>
  <si>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</si>
  <si>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</si>
  <si>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</si>
  <si>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</si>
  <si>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</si>
  <si>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</si>
  <si>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</si>
  <si>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</si>
  <si>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</si>
  <si>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</si>
  <si>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</si>
  <si>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</si>
  <si>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</si>
  <si>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</si>
  <si>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</si>
  <si>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</si>
  <si>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</si>
  <si>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</si>
  <si>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</si>
  <si>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</si>
  <si>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</si>
  <si>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</si>
  <si>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</si>
  <si>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</si>
  <si>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</si>
  <si>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</si>
  <si>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</si>
  <si>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</si>
  <si>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</si>
  <si>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</si>
  <si>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</si>
  <si>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</si>
  <si>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</si>
  <si>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</si>
  <si>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</si>
  <si>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</si>
  <si>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</si>
  <si>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</si>
  <si>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</si>
  <si>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</si>
  <si>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</si>
  <si>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</si>
  <si>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</si>
  <si>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</si>
  <si>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</si>
  <si>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</si>
  <si>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</si>
  <si>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</si>
  <si>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</si>
  <si>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</si>
  <si>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</si>
  <si>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</si>
  <si>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</si>
  <si>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</si>
  <si>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</si>
  <si>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</si>
  <si>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</si>
  <si>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</si>
  <si>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</si>
  <si>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</si>
  <si>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</si>
  <si>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</si>
  <si>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</si>
  <si>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</si>
  <si>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</si>
  <si>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</si>
  <si>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</si>
  <si>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</si>
  <si>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</si>
  <si>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</si>
  <si>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</si>
  <si>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</si>
  <si>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</si>
  <si>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</si>
  <si>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</si>
  <si>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</si>
  <si>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</si>
  <si>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</si>
  <si>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</si>
  <si>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</si>
  <si>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</si>
  <si>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</si>
  <si>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</si>
  <si>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</si>
  <si>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</si>
  <si>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</si>
  <si>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</si>
  <si>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</si>
  <si>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</si>
  <si>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</si>
  <si>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</si>
  <si>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</si>
  <si>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</si>
  <si>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</si>
  <si>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</si>
  <si>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</si>
  <si>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</si>
  <si>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</si>
  <si>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</si>
  <si>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</si>
  <si>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</si>
  <si>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</si>
  <si>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</si>
  <si>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</si>
  <si>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</si>
  <si>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</si>
  <si>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</si>
  <si>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</si>
  <si>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</si>
  <si>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</si>
  <si>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</si>
  <si>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</si>
  <si>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</si>
  <si>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</si>
  <si>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</si>
  <si>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</si>
  <si>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</si>
  <si>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</si>
  <si>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</si>
  <si>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</si>
  <si>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</si>
  <si>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</si>
  <si>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</si>
  <si>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</si>
  <si>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</si>
  <si>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</si>
  <si>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</si>
  <si>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</si>
  <si>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</si>
  <si>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</si>
  <si>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</si>
  <si>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</si>
  <si>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</si>
  <si>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</si>
  <si>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</si>
  <si>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</si>
  <si>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</si>
  <si>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</si>
  <si>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</si>
  <si>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</si>
  <si>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</si>
  <si>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</si>
  <si>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</si>
  <si>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</si>
  <si>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</si>
  <si>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</si>
  <si>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</si>
  <si>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</si>
  <si>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</si>
  <si>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</si>
  <si>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</si>
  <si>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</si>
  <si>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</si>
  <si>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</si>
  <si>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</si>
  <si>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</si>
  <si>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</si>
  <si>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</si>
  <si>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</si>
  <si>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</si>
  <si>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</si>
  <si>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</si>
  <si>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</si>
  <si>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</si>
  <si>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</si>
  <si>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</si>
  <si>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</si>
  <si>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</si>
  <si>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</si>
  <si>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</si>
  <si>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</si>
  <si>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</si>
  <si>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</si>
  <si>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</si>
  <si>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</si>
  <si>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</si>
  <si>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</si>
  <si>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</si>
  <si>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</si>
  <si>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</si>
  <si>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</si>
  <si>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</si>
  <si>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</si>
  <si>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</si>
  <si>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</si>
  <si>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</si>
  <si>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</si>
  <si>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</si>
  <si>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</si>
  <si>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</si>
  <si>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</si>
  <si>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</si>
  <si>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</si>
  <si>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</si>
  <si>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</si>
  <si>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</si>
  <si>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</si>
  <si>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</si>
  <si>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</si>
  <si>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</si>
  <si>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</si>
  <si>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</si>
  <si>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</si>
  <si>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</si>
  <si>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</si>
  <si>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</si>
  <si>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</si>
  <si>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</si>
  <si>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</si>
  <si>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</si>
  <si>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</si>
  <si>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</si>
  <si>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</si>
  <si>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</si>
  <si>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</si>
  <si>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</si>
  <si>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</si>
  <si>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</si>
  <si>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</si>
  <si>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</si>
  <si>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</si>
  <si>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</si>
  <si>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</si>
  <si>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</si>
  <si>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</si>
  <si>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</si>
  <si>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</si>
  <si>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</si>
  <si>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</si>
  <si>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</si>
  <si>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</si>
  <si>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</si>
  <si>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</si>
  <si>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</si>
  <si>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</si>
  <si>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</si>
  <si>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</si>
  <si>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</si>
  <si>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</si>
  <si>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</si>
  <si>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</si>
  <si>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</si>
  <si>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</si>
  <si>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</si>
  <si>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</si>
  <si>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</si>
  <si>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</si>
  <si>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</si>
  <si>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</si>
  <si>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</si>
  <si>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</si>
  <si>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</si>
  <si>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</si>
  <si>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</si>
  <si>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</si>
  <si>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</si>
  <si>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</si>
  <si>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</si>
  <si>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</si>
  <si>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</si>
  <si>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</si>
  <si>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</si>
  <si>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</si>
  <si>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</si>
  <si>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</si>
  <si>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</si>
  <si>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</si>
  <si>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</si>
  <si>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</si>
  <si>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</si>
  <si>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</si>
  <si>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</si>
  <si>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</si>
  <si>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</si>
  <si>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</si>
  <si>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</si>
  <si>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</si>
  <si>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</si>
  <si>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</si>
  <si>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</si>
  <si>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</si>
  <si>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</si>
  <si>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</si>
  <si>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</si>
  <si>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</si>
  <si>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</si>
  <si>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</si>
  <si>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</si>
  <si>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</si>
  <si>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</si>
  <si>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</si>
  <si>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</si>
  <si>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</si>
  <si>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</si>
  <si>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</si>
  <si>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</si>
  <si>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</si>
  <si>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</si>
  <si>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</si>
  <si>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</si>
  <si>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</si>
  <si>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</si>
  <si>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</si>
  <si>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</si>
  <si>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</si>
  <si>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</si>
  <si>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</si>
  <si>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</si>
  <si>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</si>
  <si>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</si>
  <si>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</si>
  <si>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</si>
  <si>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</si>
  <si>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</si>
  <si>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</si>
  <si>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</si>
  <si>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</si>
  <si>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</si>
  <si>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</si>
  <si>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</si>
  <si>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</si>
  <si>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</si>
  <si>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</si>
  <si>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</si>
  <si>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</si>
  <si>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</si>
  <si>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</si>
  <si>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</si>
  <si>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</si>
  <si>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</si>
  <si>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</si>
  <si>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</si>
  <si>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</si>
  <si>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</si>
  <si>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</si>
  <si>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</si>
  <si>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</si>
  <si>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</si>
  <si>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</si>
  <si>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</si>
  <si>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</si>
  <si>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</si>
  <si>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</si>
  <si>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</si>
  <si>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</si>
  <si>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</si>
  <si>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</si>
  <si>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</si>
  <si>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</si>
  <si>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</si>
  <si>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</si>
  <si>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</si>
  <si>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</si>
  <si>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</si>
  <si>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</si>
  <si>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</si>
  <si>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</si>
  <si>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</si>
  <si>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</si>
  <si>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</si>
  <si>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</si>
  <si>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</si>
  <si>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</si>
  <si>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</si>
  <si>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</si>
  <si>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</si>
  <si>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</si>
  <si>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</si>
  <si>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</si>
  <si>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</si>
  <si>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</si>
  <si>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</si>
  <si>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</si>
  <si>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</si>
  <si>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</si>
  <si>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</si>
  <si>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</si>
  <si>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</si>
  <si>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</si>
  <si>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</si>
  <si>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</si>
  <si>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</si>
  <si>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</si>
  <si>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</si>
  <si>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</si>
  <si>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</si>
  <si>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</si>
  <si>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</si>
  <si>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</si>
  <si>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</si>
  <si>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</si>
  <si>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</si>
  <si>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</si>
  <si>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</si>
  <si>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</si>
  <si>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</si>
  <si>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</si>
  <si>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</si>
  <si>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</si>
  <si>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</si>
  <si>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</si>
  <si>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</si>
  <si>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</si>
  <si>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</si>
  <si>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</si>
  <si>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</si>
  <si>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</si>
  <si>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</si>
  <si>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</si>
  <si>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</si>
  <si>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</si>
  <si>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</si>
  <si>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</si>
  <si>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</si>
  <si>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</si>
  <si>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</si>
  <si>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</si>
  <si>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</si>
  <si>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</si>
  <si>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</si>
  <si>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</si>
  <si>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</si>
  <si>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</si>
  <si>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</si>
  <si>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</si>
  <si>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</si>
  <si>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</si>
  <si>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</si>
  <si>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</si>
  <si>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</si>
  <si>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</si>
  <si>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</si>
  <si>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</si>
  <si>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</si>
  <si>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</si>
  <si>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</si>
  <si>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</si>
  <si>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</si>
  <si>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</si>
  <si>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</si>
  <si>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</si>
  <si>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</si>
  <si>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</si>
  <si>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</si>
  <si>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</si>
  <si>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</si>
  <si>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</si>
  <si>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</si>
  <si>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</si>
  <si>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</si>
  <si>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</si>
  <si>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</si>
  <si>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</si>
  <si>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</si>
  <si>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</si>
  <si>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</si>
  <si>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</si>
  <si>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</si>
  <si>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</si>
  <si>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</si>
  <si>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</si>
  <si>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</si>
  <si>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</si>
  <si>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</si>
  <si>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</si>
  <si>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</si>
  <si>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</si>
  <si>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</si>
  <si>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</si>
  <si>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</si>
  <si>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</si>
  <si>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</si>
  <si>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</si>
  <si>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</si>
  <si>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</si>
  <si>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</si>
  <si>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</si>
  <si>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</si>
  <si>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</si>
  <si>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</si>
  <si>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</si>
  <si>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</si>
  <si>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</si>
  <si>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</si>
  <si>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</si>
  <si>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</si>
  <si>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</si>
  <si>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</si>
  <si>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</si>
  <si>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</si>
  <si>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</si>
  <si>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</si>
  <si>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</si>
  <si>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</si>
  <si>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</si>
  <si>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</si>
  <si>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</si>
  <si>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</si>
  <si>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</si>
  <si>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</si>
  <si>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</si>
  <si>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</si>
  <si>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</si>
  <si>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</si>
  <si>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</si>
  <si>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</si>
  <si>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</si>
  <si>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</si>
  <si>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</si>
  <si>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</si>
  <si>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</si>
  <si>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</si>
  <si>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</si>
  <si>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</si>
  <si>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</si>
  <si>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</si>
  <si>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</si>
  <si>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</si>
  <si>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</si>
  <si>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</si>
  <si>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</si>
  <si>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</si>
  <si>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</si>
  <si>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</si>
  <si>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</si>
  <si>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</si>
  <si>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</si>
  <si>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</si>
  <si>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</si>
  <si>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</si>
  <si>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</si>
  <si>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</si>
  <si>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</si>
  <si>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</si>
  <si>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</si>
  <si>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</si>
  <si>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</si>
  <si>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</si>
  <si>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</si>
  <si>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</si>
  <si>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</si>
  <si>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</si>
  <si>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</si>
  <si>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</si>
  <si>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</si>
  <si>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</si>
  <si>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</si>
  <si>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</si>
  <si>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</si>
  <si>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</si>
  <si>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</si>
  <si>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</si>
  <si>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</si>
  <si>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</si>
  <si>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</si>
  <si>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</si>
  <si>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</si>
  <si>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</si>
  <si>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</si>
  <si>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</si>
  <si>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</si>
  <si>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</si>
  <si>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</si>
  <si>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</si>
  <si>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</si>
  <si>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</si>
  <si>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</si>
  <si>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</si>
  <si>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</si>
  <si>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</si>
  <si>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</si>
  <si>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</si>
  <si>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</si>
  <si>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</si>
  <si>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</si>
  <si>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</si>
  <si>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</si>
  <si>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</si>
  <si>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</si>
  <si>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</si>
  <si>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</si>
  <si>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</si>
  <si>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</si>
  <si>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</si>
  <si>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</si>
  <si>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</si>
  <si>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</si>
  <si>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</si>
  <si>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</si>
  <si>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</si>
  <si>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</si>
  <si>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</si>
  <si>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</si>
  <si>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</si>
  <si>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</si>
  <si>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</si>
  <si>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</si>
  <si>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</si>
  <si>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</si>
  <si>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</si>
  <si>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</si>
  <si>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</si>
  <si>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</si>
  <si>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</si>
  <si>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</si>
  <si>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</si>
  <si>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</si>
  <si>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</si>
  <si>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</si>
  <si>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</si>
  <si>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</si>
  <si>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</si>
  <si>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</si>
  <si>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</si>
  <si>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</si>
  <si>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</si>
  <si>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</si>
  <si>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</si>
  <si>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</si>
  <si>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</si>
  <si>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</si>
  <si>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</si>
  <si>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</si>
  <si>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</si>
  <si>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</si>
  <si>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</si>
  <si>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</si>
  <si>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</si>
  <si>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</si>
  <si>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</si>
  <si>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</si>
  <si>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</si>
  <si>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</si>
  <si>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</si>
  <si>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</si>
  <si>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</si>
  <si>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</si>
  <si>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</si>
  <si>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</si>
  <si>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</si>
  <si>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</si>
  <si>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</si>
  <si>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</si>
  <si>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</si>
  <si>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</si>
  <si>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</si>
  <si>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</si>
  <si>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</si>
  <si>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</si>
  <si>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</si>
  <si>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</si>
  <si>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</si>
  <si>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</si>
  <si>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</si>
  <si>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</si>
  <si>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</si>
  <si>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</si>
  <si>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</si>
  <si>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</si>
  <si>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</si>
  <si>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</si>
  <si>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</si>
  <si>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</si>
  <si>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</si>
  <si>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</si>
  <si>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</si>
  <si>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</si>
  <si>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</si>
  <si>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</si>
  <si>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</si>
  <si>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</si>
  <si>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</si>
  <si>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</si>
  <si>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</si>
  <si>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</si>
  <si>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</si>
  <si>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</si>
  <si>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</si>
  <si>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</si>
  <si>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</si>
  <si>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</si>
  <si>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</si>
  <si>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</si>
  <si>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</si>
  <si>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</si>
  <si>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</si>
  <si>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</si>
  <si>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</si>
  <si>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</si>
  <si>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</si>
  <si>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</si>
  <si>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</si>
  <si>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</si>
  <si>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</si>
  <si>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</si>
  <si>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</si>
  <si>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</si>
  <si>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</si>
  <si>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</si>
  <si>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</si>
  <si>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</si>
  <si>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</si>
  <si>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</si>
  <si>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</si>
  <si>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</si>
  <si>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</si>
  <si>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</si>
  <si>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</si>
  <si>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</si>
  <si>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</si>
  <si>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</si>
  <si>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</si>
  <si>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</si>
  <si>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</si>
  <si>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</si>
  <si>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</si>
  <si>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</si>
  <si>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</si>
  <si>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</si>
  <si>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</si>
  <si>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</si>
  <si>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</si>
  <si>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</si>
  <si>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</si>
  <si>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</si>
  <si>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</si>
  <si>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</si>
  <si>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</si>
  <si>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</si>
  <si>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</si>
  <si>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</si>
  <si>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</si>
  <si>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</si>
  <si>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</si>
  <si>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</si>
  <si>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</si>
  <si>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</si>
  <si>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</si>
  <si>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</si>
  <si>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</si>
  <si>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</si>
  <si>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</si>
  <si>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</si>
  <si>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</si>
  <si>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</si>
  <si>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</si>
  <si>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</si>
  <si>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</si>
  <si>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</si>
  <si>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</si>
  <si>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</si>
  <si>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</si>
  <si>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</si>
  <si>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</si>
  <si>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</si>
  <si>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</si>
  <si>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</si>
  <si>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</si>
  <si>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</si>
  <si>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</si>
  <si>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</si>
  <si>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</si>
  <si>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</si>
  <si>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</si>
  <si>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</si>
  <si>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</si>
  <si>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</si>
  <si>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</si>
  <si>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</si>
  <si>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</si>
  <si>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</si>
  <si>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</si>
  <si>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</si>
  <si>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</si>
  <si>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</si>
  <si>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</si>
  <si>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</si>
  <si>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</si>
  <si>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</si>
  <si>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</si>
  <si>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</si>
  <si>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</si>
  <si>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</si>
  <si>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</si>
  <si>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</si>
  <si>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</si>
  <si>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</si>
  <si>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</si>
  <si>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</si>
  <si>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</si>
  <si>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</si>
  <si>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</si>
  <si>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</si>
  <si>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</si>
  <si>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</si>
  <si>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</si>
  <si>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</si>
  <si>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</si>
  <si>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</si>
  <si>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</si>
  <si>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</si>
  <si>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</si>
  <si>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</si>
  <si>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</si>
  <si>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</si>
  <si>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</si>
  <si>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</si>
  <si>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</si>
  <si>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</si>
  <si>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</si>
  <si>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</si>
  <si>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</si>
  <si>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</si>
  <si>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</si>
  <si>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</si>
  <si>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</si>
  <si>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</si>
  <si>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</si>
  <si>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</si>
  <si>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</si>
  <si>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</si>
  <si>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</si>
  <si>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</si>
  <si>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</si>
  <si>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</si>
  <si>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</si>
  <si>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</si>
  <si>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</si>
  <si>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</si>
  <si>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</si>
  <si>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</si>
  <si>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</si>
  <si>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</si>
  <si>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</si>
  <si>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</si>
  <si>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</si>
  <si>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</si>
  <si>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</si>
  <si>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</si>
  <si>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</si>
  <si>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</si>
  <si>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</si>
  <si>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</si>
  <si>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</si>
  <si>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</si>
  <si>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</si>
  <si>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</si>
  <si>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</si>
  <si>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</si>
  <si>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</si>
  <si>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</si>
  <si>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</si>
  <si>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</si>
  <si>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</si>
  <si>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</si>
  <si>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</si>
  <si>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</si>
  <si>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</si>
  <si>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</si>
  <si>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</si>
  <si>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</si>
  <si>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</si>
  <si>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</si>
  <si>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</si>
  <si>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</si>
  <si>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</si>
  <si>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</si>
  <si>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</si>
  <si>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</si>
  <si>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</si>
  <si>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</si>
  <si>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</si>
  <si>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</si>
  <si>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</si>
  <si>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</si>
  <si>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</si>
  <si>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</si>
  <si>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</si>
  <si>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</si>
  <si>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</si>
  <si>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</si>
  <si>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</si>
  <si>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</si>
  <si>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</si>
  <si>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</si>
  <si>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</si>
  <si>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</si>
  <si>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</si>
  <si>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</si>
  <si>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</si>
  <si>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</si>
  <si>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</si>
  <si>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</si>
  <si>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</si>
  <si>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</si>
  <si>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</si>
  <si>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</si>
  <si>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</si>
  <si>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</si>
  <si>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</si>
  <si>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</si>
  <si>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</si>
  <si>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</si>
  <si>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</si>
  <si>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</si>
  <si>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</si>
  <si>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</si>
  <si>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</si>
  <si>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</si>
  <si>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</si>
  <si>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</si>
  <si>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</si>
  <si>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</si>
  <si>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</si>
  <si>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</si>
  <si>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</si>
  <si>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</si>
  <si>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</si>
  <si>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</si>
  <si>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</si>
  <si>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</si>
  <si>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</si>
  <si>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</si>
  <si>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</si>
  <si>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</si>
  <si>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</si>
  <si>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</si>
  <si>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</si>
  <si>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</si>
  <si>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</si>
  <si>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</si>
  <si>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</si>
  <si>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</si>
  <si>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</si>
  <si>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</si>
  <si>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</si>
  <si>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</si>
  <si>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</si>
  <si>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</si>
  <si>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</si>
  <si>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</si>
  <si>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</si>
  <si>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</si>
  <si>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</si>
  <si>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</si>
  <si>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</si>
  <si>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</si>
  <si>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</si>
  <si>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</si>
  <si>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</si>
  <si>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</si>
  <si>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</si>
  <si>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</si>
  <si>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</si>
  <si>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</si>
  <si>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</si>
  <si>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</si>
  <si>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</si>
  <si>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</si>
  <si>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</si>
  <si>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</si>
  <si>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</si>
  <si>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</si>
  <si>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</si>
  <si>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</si>
  <si>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</si>
  <si>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</si>
  <si>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</si>
  <si>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</si>
  <si>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</si>
  <si>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</si>
  <si>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</si>
  <si>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</si>
  <si>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</si>
  <si>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</si>
  <si>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</si>
  <si>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</si>
  <si>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</si>
  <si>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</si>
  <si>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</si>
  <si>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</si>
  <si>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</si>
  <si>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</si>
  <si>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</si>
  <si>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</si>
  <si>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</si>
  <si>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</si>
  <si>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</si>
  <si>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</si>
  <si>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</si>
  <si>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</si>
  <si>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</si>
  <si>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</si>
  <si>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</si>
  <si>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</si>
  <si>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</si>
  <si>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</si>
  <si>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</si>
  <si>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</si>
  <si>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</si>
  <si>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</si>
  <si>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</si>
  <si>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</si>
  <si>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</si>
  <si>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</si>
  <si>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</si>
  <si>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</si>
  <si>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</si>
  <si>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</si>
  <si>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</si>
  <si>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</si>
  <si>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</si>
  <si>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</si>
  <si>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</si>
  <si>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</si>
  <si>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</si>
  <si>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</si>
  <si>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</si>
  <si>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</si>
  <si>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</si>
  <si>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</si>
  <si>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</si>
  <si>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</si>
  <si>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</si>
  <si>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</si>
  <si>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</si>
  <si>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</si>
  <si>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</si>
  <si>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</si>
  <si>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</si>
  <si>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</si>
  <si>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</si>
  <si>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</si>
  <si>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</si>
  <si>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</si>
  <si>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</si>
  <si>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</si>
  <si>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</si>
  <si>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</si>
  <si>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</si>
  <si>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</si>
  <si>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</si>
  <si>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</si>
  <si>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</si>
  <si>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</si>
  <si>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</si>
  <si>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</si>
  <si>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</si>
  <si>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</si>
  <si>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</si>
  <si>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</si>
  <si>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</si>
  <si>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</si>
  <si>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</si>
  <si>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</si>
  <si>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</si>
  <si>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</si>
  <si>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</si>
  <si>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</si>
  <si>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</si>
  <si>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</si>
  <si>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</si>
  <si>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</si>
  <si>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</si>
  <si>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</si>
  <si>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</si>
  <si>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</si>
  <si>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</si>
  <si>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</si>
  <si>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</si>
  <si>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</si>
  <si>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</si>
  <si>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</si>
  <si>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</si>
  <si>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</si>
  <si>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</si>
  <si>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</si>
  <si>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</si>
  <si>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</si>
  <si>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</si>
  <si>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</si>
  <si>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</si>
  <si>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</si>
  <si>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</si>
  <si>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</si>
  <si>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</si>
  <si>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</si>
  <si>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</si>
  <si>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</si>
  <si>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</si>
  <si>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</si>
  <si>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</si>
  <si>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</si>
  <si>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</si>
  <si>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</si>
  <si>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</si>
  <si>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</si>
  <si>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</si>
  <si>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</si>
  <si>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</si>
  <si>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</si>
  <si>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</si>
  <si>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</si>
  <si>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</si>
  <si>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</si>
  <si>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</si>
  <si>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</si>
  <si>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</si>
  <si>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</si>
  <si>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</si>
  <si>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</si>
  <si>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</si>
  <si>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</si>
  <si>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</si>
  <si>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</si>
  <si>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</si>
  <si>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</si>
  <si>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</si>
  <si>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</si>
  <si>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</si>
  <si>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</si>
  <si>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</si>
  <si>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</si>
  <si>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</si>
  <si>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</si>
  <si>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</si>
  <si>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</si>
  <si>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</si>
  <si>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</si>
  <si>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</si>
  <si>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</si>
  <si>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</si>
  <si>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</si>
  <si>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</si>
  <si>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</si>
  <si>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</si>
  <si>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</si>
  <si>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</si>
  <si>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</si>
  <si>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</si>
  <si>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</si>
  <si>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</si>
  <si>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</si>
  <si>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</si>
  <si>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</si>
  <si>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</si>
  <si>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</si>
  <si>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</si>
  <si>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</si>
  <si>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</si>
  <si>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</si>
  <si>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</si>
  <si>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</si>
  <si>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</si>
  <si>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</si>
  <si>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</si>
  <si>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</si>
  <si>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</si>
  <si>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</si>
  <si>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</si>
  <si>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</si>
  <si>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</si>
  <si>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</si>
  <si>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</si>
  <si>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</si>
  <si>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</si>
  <si>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</si>
  <si>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</si>
  <si>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</si>
  <si>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</si>
  <si>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</si>
  <si>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</si>
  <si>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</si>
  <si>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</si>
  <si>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</si>
  <si>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</si>
  <si>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</si>
  <si>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</si>
  <si>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</si>
  <si>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</si>
  <si>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</si>
  <si>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</si>
  <si>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</si>
  <si>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</si>
  <si>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</si>
  <si>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</si>
  <si>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</si>
  <si>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</si>
  <si>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</si>
  <si>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</si>
  <si>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</si>
  <si>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</si>
  <si>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</si>
  <si>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</si>
  <si>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</si>
  <si>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</si>
  <si>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</si>
  <si>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</si>
  <si>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</si>
  <si>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</si>
  <si>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</si>
  <si>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</si>
  <si>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</si>
  <si>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</si>
  <si>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</si>
  <si>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</si>
  <si>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</si>
  <si>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</si>
  <si>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</si>
  <si>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</si>
  <si>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</si>
  <si>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</si>
  <si>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</si>
  <si>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</si>
  <si>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</si>
  <si>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</si>
  <si>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</si>
  <si>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</si>
  <si>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</si>
  <si>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</si>
  <si>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</si>
  <si>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</si>
  <si>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</si>
  <si>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</si>
  <si>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</si>
  <si>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</si>
  <si>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</si>
  <si>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</si>
  <si>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</si>
  <si>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</si>
  <si>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</si>
  <si>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</si>
  <si>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</si>
  <si>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</si>
  <si>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</si>
  <si>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</si>
  <si>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</si>
  <si>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</si>
  <si>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</si>
  <si>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</si>
  <si>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</si>
  <si>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</si>
  <si>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</si>
  <si>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</si>
  <si>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</si>
  <si>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</si>
  <si>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</si>
  <si>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</si>
  <si>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</si>
  <si>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</si>
  <si>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</si>
  <si>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</si>
  <si>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</si>
  <si>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</si>
  <si>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</si>
  <si>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</si>
  <si>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</si>
  <si>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</si>
  <si>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</si>
  <si>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</si>
  <si>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</si>
  <si>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</si>
  <si>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</si>
  <si>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</si>
  <si>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</si>
  <si>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</si>
  <si>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</si>
  <si>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</si>
  <si>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</si>
  <si>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</si>
  <si>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</si>
  <si>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</si>
  <si>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</si>
  <si>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</si>
  <si>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</si>
  <si>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</si>
  <si>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</si>
  <si>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</si>
  <si>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</si>
  <si>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</si>
  <si>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</si>
  <si>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</si>
  <si>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</si>
  <si>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</si>
  <si>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</si>
  <si>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</si>
  <si>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</si>
  <si>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</si>
  <si>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</si>
  <si>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</si>
  <si>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</si>
  <si>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</si>
  <si>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</si>
  <si>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</si>
  <si>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</si>
  <si>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</si>
  <si>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</si>
  <si>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</si>
  <si>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</si>
  <si>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</si>
  <si>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</si>
  <si>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</si>
  <si>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</si>
  <si>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</si>
  <si>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</si>
  <si>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</si>
  <si>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</si>
  <si>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</si>
  <si>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</si>
  <si>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</si>
  <si>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</si>
  <si>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</si>
  <si>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</si>
  <si>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</si>
  <si>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</si>
  <si>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</si>
  <si>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</si>
  <si>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</si>
  <si>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</si>
  <si>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</si>
  <si>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</si>
  <si>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</si>
  <si>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</si>
  <si>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</si>
  <si>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</si>
  <si>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</si>
  <si>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</si>
  <si>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</si>
  <si>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</si>
  <si>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</si>
  <si>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</si>
  <si>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</si>
  <si>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</si>
  <si>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</si>
  <si>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</si>
  <si>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</si>
  <si>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</si>
  <si>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</si>
  <si>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</si>
  <si>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</si>
  <si>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</si>
  <si>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</si>
  <si>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</si>
  <si>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</si>
  <si>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</si>
  <si>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</si>
  <si>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</si>
  <si>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</si>
  <si>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</si>
  <si>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</si>
  <si>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</si>
  <si>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</si>
  <si>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</si>
  <si>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</si>
  <si>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</si>
  <si>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</si>
  <si>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</si>
  <si>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</si>
  <si>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</si>
  <si>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</si>
  <si>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</si>
  <si>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</si>
  <si>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</si>
  <si>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</si>
  <si>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</si>
  <si>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</si>
  <si>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</si>
  <si>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</si>
  <si>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</si>
  <si>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</si>
  <si>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</si>
  <si>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</si>
  <si>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</si>
  <si>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</si>
  <si>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</si>
  <si>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</si>
  <si>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</si>
  <si>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</si>
  <si>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</si>
  <si>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</si>
  <si>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</si>
  <si>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</si>
  <si>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</si>
  <si>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</si>
  <si>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</si>
  <si>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</si>
  <si>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</si>
  <si>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</si>
  <si>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</si>
  <si>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</si>
  <si>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</si>
  <si>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</si>
  <si>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</si>
  <si>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</si>
  <si>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</si>
  <si>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</si>
  <si>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</si>
  <si>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</si>
  <si>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</si>
  <si>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</si>
  <si>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</si>
  <si>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</si>
  <si>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</si>
  <si>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</si>
  <si>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</si>
  <si>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</si>
  <si>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</si>
  <si>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</si>
  <si>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</si>
  <si>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</si>
  <si>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</si>
  <si>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</si>
  <si>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</si>
  <si>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</si>
  <si>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</si>
  <si>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</si>
  <si>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</si>
  <si>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</si>
  <si>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</si>
  <si>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</si>
  <si>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</si>
  <si>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</si>
  <si>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</si>
  <si>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</si>
  <si>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</si>
  <si>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</si>
  <si>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</si>
  <si>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</si>
  <si>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</si>
  <si>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</si>
  <si>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</si>
  <si>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</si>
  <si>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</si>
  <si>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</si>
  <si>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</si>
  <si>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</si>
  <si>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</si>
  <si>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</si>
  <si>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</si>
  <si>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</si>
  <si>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</si>
  <si>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</si>
  <si>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</si>
  <si>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</si>
  <si>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</si>
  <si>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</si>
  <si>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</si>
  <si>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</si>
  <si>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</si>
  <si>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</si>
  <si>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</si>
  <si>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</si>
  <si>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</si>
  <si>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</si>
  <si>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</si>
  <si>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</si>
  <si>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</si>
  <si>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</si>
  <si>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</si>
  <si>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</si>
  <si>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</si>
  <si>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</si>
  <si>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</si>
  <si>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</si>
  <si>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</si>
  <si>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</si>
  <si>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</si>
  <si>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</si>
  <si>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</si>
  <si>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</si>
  <si>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</si>
  <si>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</si>
  <si>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</si>
  <si>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</si>
  <si>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</si>
  <si>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</si>
  <si>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</si>
  <si>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</si>
  <si>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</si>
  <si>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</si>
  <si>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</si>
  <si>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</si>
  <si>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</si>
  <si>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</si>
  <si>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</si>
  <si>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</si>
  <si>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</si>
  <si>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</si>
  <si>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</si>
  <si>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</si>
  <si>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</si>
  <si>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</si>
  <si>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</si>
  <si>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</si>
  <si>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</si>
  <si>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</si>
  <si>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</si>
  <si>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</si>
  <si>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</si>
  <si>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</si>
  <si>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</si>
  <si>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</si>
  <si>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</si>
  <si>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</si>
  <si>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</si>
  <si>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</si>
  <si>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</si>
  <si>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</si>
  <si>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</si>
  <si>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</si>
  <si>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</si>
  <si>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</si>
  <si>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</si>
  <si>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</si>
  <si>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</si>
  <si>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</si>
  <si>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</si>
  <si>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</si>
  <si>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</si>
  <si>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</si>
  <si>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</si>
  <si>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</si>
  <si>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</si>
  <si>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</si>
  <si>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</si>
  <si>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</si>
  <si>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</si>
  <si>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</si>
  <si>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</si>
  <si>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</si>
  <si>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</si>
  <si>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</si>
  <si>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</si>
  <si>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</si>
  <si>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</si>
  <si>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</si>
  <si>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</si>
  <si>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</si>
  <si>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</si>
  <si>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</si>
  <si>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</si>
  <si>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</si>
  <si>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</si>
  <si>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</si>
  <si>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</si>
  <si>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</si>
  <si>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</si>
  <si>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</si>
  <si>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</si>
  <si>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</si>
  <si>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</si>
  <si>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</si>
  <si>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</si>
  <si>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</si>
  <si>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</si>
  <si>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</si>
  <si>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</si>
  <si>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</si>
  <si>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</si>
  <si>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</si>
  <si>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</si>
  <si>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</si>
  <si>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</si>
  <si>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</si>
  <si>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</si>
  <si>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</si>
  <si>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</si>
  <si>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</si>
  <si>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</si>
  <si>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</si>
  <si>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</si>
  <si>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</si>
  <si>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</si>
  <si>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</si>
  <si>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</si>
  <si>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</si>
  <si>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</si>
  <si>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</si>
  <si>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</si>
  <si>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</si>
  <si>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</si>
  <si>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</si>
  <si>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</si>
  <si>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</si>
  <si>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</si>
  <si>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</si>
  <si>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</si>
  <si>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</si>
  <si>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</si>
  <si>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</si>
  <si>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</si>
  <si>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</si>
  <si>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</si>
  <si>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</si>
  <si>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</si>
  <si>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</si>
  <si>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</si>
  <si>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</si>
  <si>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</si>
  <si>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</si>
  <si>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</si>
  <si>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</si>
  <si>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</si>
  <si>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</si>
  <si>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</si>
  <si>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</si>
  <si>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</si>
  <si>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</si>
  <si>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</si>
  <si>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</si>
  <si>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</si>
  <si>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</si>
  <si>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</si>
  <si>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</si>
  <si>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</si>
  <si>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</si>
  <si>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</si>
  <si>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</si>
  <si>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</si>
  <si>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</si>
  <si>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</si>
  <si>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</si>
  <si>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</si>
  <si>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</si>
  <si>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</si>
  <si>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</si>
  <si>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</si>
  <si>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</si>
  <si>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</si>
  <si>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</si>
  <si>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</si>
  <si>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</si>
  <si>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</si>
  <si>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</si>
  <si>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</si>
  <si>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</si>
  <si>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</si>
  <si>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</si>
  <si>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</si>
  <si>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</si>
  <si>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</si>
  <si>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</si>
  <si>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</si>
  <si>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</si>
  <si>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</si>
  <si>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</si>
  <si>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</si>
  <si>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</si>
  <si>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</si>
  <si>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</si>
  <si>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</si>
  <si>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</si>
  <si>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</si>
  <si>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</si>
  <si>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</si>
  <si>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</si>
  <si>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</si>
  <si>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</si>
  <si>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</si>
  <si>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</si>
  <si>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</si>
  <si>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</si>
  <si>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</si>
  <si>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</si>
  <si>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</si>
  <si>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</si>
  <si>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</si>
  <si>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</si>
  <si>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</si>
  <si>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</si>
  <si>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</si>
  <si>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</si>
  <si>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</si>
  <si>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</si>
  <si>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</si>
  <si>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</si>
  <si>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</si>
  <si>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</si>
  <si>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</si>
  <si>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</si>
  <si>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</si>
  <si>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</si>
  <si>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</si>
  <si>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</si>
  <si>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</si>
  <si>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</si>
  <si>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</si>
  <si>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</si>
  <si>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</si>
  <si>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</si>
  <si>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</si>
  <si>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</si>
  <si>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</si>
  <si>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</si>
  <si>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</si>
  <si>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</si>
  <si>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</si>
  <si>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</si>
  <si>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</si>
  <si>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</si>
  <si>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</si>
  <si>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</si>
  <si>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</si>
  <si>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</si>
  <si>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</si>
  <si>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</si>
  <si>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</si>
  <si>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</si>
  <si>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</si>
  <si>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</si>
  <si>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</si>
  <si>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</si>
  <si>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</si>
  <si>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</si>
  <si>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</si>
  <si>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</si>
  <si>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</si>
  <si>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</si>
  <si>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</si>
  <si>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</si>
  <si>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</si>
  <si>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</si>
  <si>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</si>
  <si>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</si>
  <si>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</si>
  <si>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</si>
  <si>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</si>
  <si>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</si>
  <si>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</si>
  <si>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</si>
  <si>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</si>
  <si>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</si>
  <si>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</si>
  <si>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</si>
  <si>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</si>
  <si>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</si>
  <si>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</si>
  <si>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</si>
  <si>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</si>
  <si>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</si>
  <si>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</si>
  <si>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</si>
  <si>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</si>
  <si>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</si>
  <si>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</si>
  <si>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</si>
  <si>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</si>
  <si>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</si>
  <si>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</si>
  <si>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</si>
  <si>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</si>
  <si>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</si>
  <si>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</si>
  <si>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</si>
  <si>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</si>
  <si>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</si>
  <si>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</si>
  <si>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</si>
  <si>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</si>
  <si>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</si>
  <si>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</si>
  <si>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</si>
  <si>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</si>
  <si>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</si>
  <si>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</si>
  <si>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</si>
  <si>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</si>
  <si>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</si>
  <si>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</si>
  <si>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</si>
  <si>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</si>
  <si>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</si>
  <si>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</si>
  <si>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</si>
  <si>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</si>
  <si>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</si>
  <si>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</si>
  <si>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</si>
  <si>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</si>
  <si>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</si>
  <si>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</si>
  <si>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</si>
  <si>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</si>
  <si>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</si>
  <si>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</si>
  <si>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</si>
  <si>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</si>
  <si>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</si>
  <si>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</si>
  <si>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</si>
  <si>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</si>
  <si>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</si>
  <si>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</si>
  <si>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</si>
  <si>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</si>
  <si>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</si>
  <si>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</si>
  <si>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</si>
  <si>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</si>
  <si>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</si>
  <si>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</si>
  <si>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</si>
  <si>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</si>
  <si>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</si>
  <si>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</si>
  <si>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</si>
  <si>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</si>
  <si>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</si>
  <si>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</si>
  <si>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</si>
  <si>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</si>
  <si>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</si>
  <si>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</si>
  <si>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</si>
  <si>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</si>
  <si>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</si>
  <si>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</si>
  <si>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</si>
  <si>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</si>
  <si>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</si>
  <si>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</si>
  <si>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</si>
  <si>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</si>
  <si>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</si>
  <si>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</si>
  <si>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</si>
  <si>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</si>
  <si>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</si>
  <si>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</si>
  <si>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</si>
  <si>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</si>
  <si>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</si>
  <si>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</si>
  <si>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</si>
  <si>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</si>
  <si>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</si>
  <si>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</si>
  <si>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</si>
  <si>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</si>
  <si>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</si>
  <si>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</si>
  <si>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</si>
  <si>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</si>
  <si>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</si>
  <si>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</si>
  <si>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</si>
  <si>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</si>
  <si>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</si>
  <si>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</si>
  <si>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</si>
  <si>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</si>
  <si>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</si>
  <si>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</si>
  <si>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</si>
  <si>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</si>
  <si>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</si>
  <si>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</si>
  <si>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</si>
  <si>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</si>
  <si>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</si>
  <si>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</si>
  <si>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</si>
  <si>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</si>
  <si>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</si>
  <si>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</si>
  <si>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</si>
  <si>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</si>
  <si>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</si>
  <si>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</si>
  <si>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</si>
  <si>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</si>
  <si>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</si>
  <si>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</si>
  <si>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</si>
  <si>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</si>
  <si>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</si>
  <si>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</si>
  <si>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</si>
  <si>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</si>
  <si>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</si>
  <si>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</si>
  <si>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</si>
  <si>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</si>
  <si>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</si>
  <si>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</si>
  <si>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</si>
  <si>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</si>
  <si>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</si>
  <si>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</si>
  <si>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</si>
  <si>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</si>
  <si>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</si>
  <si>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</si>
  <si>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</si>
  <si>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</si>
  <si>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</si>
  <si>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</si>
  <si>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</si>
  <si>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</si>
  <si>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</si>
  <si>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</si>
  <si>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</si>
  <si>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</si>
  <si>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</si>
  <si>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</si>
  <si>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</si>
  <si>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</si>
  <si>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</si>
  <si>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</si>
  <si>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</si>
  <si>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</si>
  <si>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</si>
  <si>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</si>
  <si>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</si>
  <si>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</si>
  <si>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</si>
  <si>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</si>
  <si>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</si>
  <si>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</si>
  <si>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</si>
  <si>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</si>
  <si>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</si>
  <si>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</si>
  <si>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</si>
  <si>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</si>
  <si>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</si>
  <si>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</si>
  <si>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</si>
  <si>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</si>
  <si>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</si>
  <si>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</si>
  <si>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</si>
  <si>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</si>
  <si>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</si>
  <si>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</si>
  <si>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</si>
  <si>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</si>
  <si>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</si>
  <si>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</si>
  <si>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</si>
  <si>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</si>
  <si>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</si>
  <si>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</si>
  <si>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</si>
  <si>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</si>
  <si>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</si>
  <si>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</si>
  <si>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</si>
  <si>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</si>
  <si>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</si>
  <si>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</si>
  <si>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</si>
  <si>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</si>
  <si>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</si>
  <si>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</si>
  <si>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</si>
  <si>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</si>
  <si>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</si>
  <si>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</si>
  <si>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</si>
  <si>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</si>
  <si>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</si>
  <si>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</si>
  <si>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</si>
  <si>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</si>
  <si>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</si>
  <si>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</si>
  <si>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</si>
  <si>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</si>
  <si>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</si>
  <si>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</si>
  <si>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</si>
  <si>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</si>
  <si>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</si>
  <si>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</si>
  <si>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</si>
  <si>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</si>
  <si>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</si>
  <si>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</si>
  <si>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</si>
  <si>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</si>
  <si>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</si>
  <si>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</si>
  <si>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</si>
  <si>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</si>
  <si>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</si>
  <si>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</si>
  <si>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</si>
  <si>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</si>
  <si>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</si>
  <si>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</si>
  <si>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</si>
  <si>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</si>
  <si>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</si>
  <si>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</si>
  <si>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</si>
  <si>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</si>
  <si>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</si>
  <si>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</si>
  <si>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</si>
  <si>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</si>
  <si>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</si>
  <si>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</si>
  <si>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</si>
  <si>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</si>
  <si>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</si>
  <si>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</si>
  <si>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</si>
  <si>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</si>
  <si>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</si>
  <si>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</si>
  <si>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</si>
  <si>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</si>
  <si>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</si>
  <si>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</si>
  <si>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</si>
  <si>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</si>
  <si>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</si>
  <si>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</si>
  <si>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</si>
  <si>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</si>
  <si>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</si>
  <si>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</si>
  <si>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</si>
  <si>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</si>
  <si>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</si>
  <si>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</si>
  <si>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</si>
  <si>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</si>
  <si>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</si>
  <si>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</si>
  <si>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</si>
  <si>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</si>
  <si>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</si>
  <si>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</si>
  <si>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</si>
  <si>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</si>
  <si>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</si>
  <si>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</si>
  <si>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</si>
  <si>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</si>
  <si>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</si>
  <si>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</si>
  <si>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</si>
  <si>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</si>
  <si>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</si>
  <si>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</si>
  <si>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</si>
  <si>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</si>
  <si>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</si>
  <si>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</si>
  <si>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</si>
  <si>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</si>
  <si>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</si>
  <si>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</si>
  <si>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</si>
  <si>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</si>
  <si>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</si>
  <si>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</si>
  <si>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</si>
  <si>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</si>
  <si>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</si>
  <si>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</si>
  <si>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</si>
  <si>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</si>
  <si>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</si>
  <si>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</si>
  <si>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</si>
  <si>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</si>
  <si>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</si>
  <si>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</si>
  <si>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</si>
  <si>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</si>
  <si>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</si>
  <si>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</si>
  <si>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</si>
  <si>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</si>
  <si>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</si>
  <si>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</si>
  <si>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</si>
  <si>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</si>
  <si>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</si>
  <si>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</si>
  <si>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</si>
  <si>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</si>
  <si>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</si>
  <si>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</si>
  <si>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</si>
  <si>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</si>
  <si>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</si>
  <si>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</si>
  <si>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</si>
  <si>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</si>
  <si>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</si>
  <si>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</si>
  <si>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</si>
  <si>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</si>
  <si>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</si>
  <si>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</si>
  <si>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</si>
  <si>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</si>
  <si>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</si>
  <si>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</si>
  <si>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</si>
  <si>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</si>
  <si>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</si>
  <si>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</si>
  <si>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</si>
  <si>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</si>
  <si>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</si>
  <si>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</si>
  <si>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</si>
  <si>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</si>
  <si>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</si>
  <si>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</si>
  <si>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</si>
  <si>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</si>
  <si>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</si>
  <si>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</si>
  <si>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</si>
  <si>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</si>
  <si>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</si>
  <si>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</si>
  <si>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</si>
  <si>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</si>
  <si>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</si>
  <si>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</si>
  <si>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</si>
  <si>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</si>
  <si>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</si>
  <si>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</si>
  <si>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</si>
  <si>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</si>
  <si>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</si>
  <si>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</si>
  <si>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</si>
  <si>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</si>
  <si>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</si>
  <si>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</si>
  <si>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</si>
  <si>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</si>
  <si>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</si>
  <si>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</si>
  <si>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</si>
  <si>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</si>
  <si>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</si>
  <si>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</si>
  <si>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</si>
  <si>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</si>
  <si>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</si>
  <si>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</si>
  <si>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</si>
  <si>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</si>
  <si>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</si>
  <si>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</si>
  <si>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</si>
  <si>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</si>
  <si>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</si>
  <si>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</si>
  <si>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</si>
  <si>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</si>
  <si>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</si>
  <si>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</si>
  <si>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</si>
  <si>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</si>
  <si>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</si>
  <si>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</si>
  <si>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</si>
  <si>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</si>
  <si>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</si>
  <si>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</si>
  <si>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</si>
  <si>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</si>
  <si>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</si>
  <si>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</si>
  <si>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</si>
  <si>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</si>
  <si>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</si>
  <si>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</si>
  <si>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</si>
  <si>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</si>
  <si>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</si>
  <si>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</si>
  <si>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</si>
  <si>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</si>
  <si>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</si>
  <si>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</si>
  <si>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</si>
  <si>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</si>
  <si>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</si>
  <si>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</si>
  <si>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</si>
  <si>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</si>
  <si>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</si>
  <si>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</si>
  <si>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</si>
  <si>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</si>
  <si>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</si>
  <si>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</si>
  <si>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</si>
  <si>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</si>
  <si>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</si>
  <si>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</si>
  <si>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</si>
  <si>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</si>
  <si>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</si>
  <si>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</si>
  <si>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</si>
  <si>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</si>
  <si>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</si>
  <si>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</si>
  <si>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</si>
  <si>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</si>
  <si>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</si>
  <si>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</si>
  <si>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</si>
  <si>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</si>
  <si>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</si>
  <si>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</si>
  <si>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</si>
  <si>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</si>
  <si>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</si>
  <si>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</si>
  <si>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</si>
  <si>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</si>
  <si>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</si>
  <si>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</si>
  <si>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</si>
  <si>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</si>
  <si>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</si>
  <si>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</si>
  <si>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</si>
  <si>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</si>
  <si>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</si>
  <si>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</si>
  <si>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</si>
  <si>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</si>
  <si>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</si>
  <si>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</si>
  <si>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</si>
  <si>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</si>
  <si>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</si>
  <si>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</si>
  <si>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</si>
  <si>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</si>
  <si>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</si>
  <si>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</si>
  <si>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</si>
  <si>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</si>
  <si>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</si>
  <si>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</si>
  <si>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</si>
  <si>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</si>
  <si>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</si>
  <si>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</si>
  <si>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</si>
  <si>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</si>
  <si>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</si>
  <si>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</si>
  <si>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</si>
  <si>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</si>
  <si>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</si>
  <si>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</si>
  <si>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</si>
  <si>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</si>
  <si>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</si>
  <si>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</si>
  <si>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</si>
  <si>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</si>
  <si>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</si>
  <si>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</si>
  <si>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</si>
  <si>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</si>
  <si>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</si>
  <si>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</si>
  <si>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</si>
  <si>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</si>
  <si>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</si>
  <si>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</si>
  <si>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</si>
  <si>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</si>
  <si>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</si>
  <si>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</si>
  <si>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</si>
  <si>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</si>
  <si>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</si>
  <si>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</si>
  <si>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</si>
  <si>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</si>
  <si>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</si>
  <si>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</si>
  <si>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</si>
  <si>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</si>
  <si>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</si>
  <si>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</si>
  <si>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</si>
  <si>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</si>
  <si>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</si>
  <si>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</si>
  <si>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</si>
  <si>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</si>
  <si>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</si>
  <si>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</si>
  <si>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</si>
  <si>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</si>
  <si>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</si>
  <si>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</si>
  <si>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</si>
  <si>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</si>
  <si>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</si>
  <si>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</si>
  <si>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</si>
  <si>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</si>
  <si>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</si>
  <si>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</si>
  <si>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</si>
  <si>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</si>
  <si>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</si>
  <si>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</si>
  <si>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</si>
  <si>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</si>
  <si>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</si>
  <si>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</si>
  <si>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</si>
  <si>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</si>
  <si>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</si>
  <si>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</si>
  <si>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</si>
  <si>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</si>
  <si>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</si>
  <si>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</si>
  <si>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</si>
  <si>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</si>
  <si>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</si>
  <si>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</si>
  <si>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</si>
  <si>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</si>
  <si>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</si>
  <si>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</si>
  <si>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</si>
  <si>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</si>
  <si>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</si>
  <si>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</si>
  <si>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</si>
  <si>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</si>
  <si>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</si>
  <si>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</si>
  <si>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</si>
  <si>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</si>
  <si>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</si>
  <si>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</si>
  <si>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</si>
  <si>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</si>
  <si>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</si>
  <si>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</si>
  <si>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</si>
  <si>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</si>
  <si>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</si>
  <si>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</si>
  <si>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</si>
  <si>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</si>
  <si>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</si>
  <si>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</si>
  <si>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</si>
  <si>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</si>
  <si>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</si>
  <si>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</si>
  <si>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</si>
  <si>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</si>
  <si>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</si>
  <si>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</si>
  <si>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</si>
  <si>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</si>
  <si>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</si>
  <si>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</si>
  <si>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</si>
  <si>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</si>
  <si>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</si>
  <si>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</si>
  <si>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</si>
  <si>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</si>
  <si>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</si>
  <si>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</si>
  <si>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</si>
  <si>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</si>
  <si>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</si>
  <si>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</si>
  <si>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</si>
  <si>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</si>
  <si>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</si>
  <si>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</si>
  <si>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</si>
  <si>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</si>
  <si>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</si>
  <si>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</si>
  <si>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</si>
  <si>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</si>
  <si>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</si>
  <si>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</si>
  <si>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</si>
  <si>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</si>
  <si>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</si>
  <si>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</si>
  <si>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</si>
  <si>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</si>
  <si>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</si>
  <si>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</si>
  <si>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</si>
  <si>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</si>
  <si>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</si>
  <si>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</si>
  <si>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</si>
  <si>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</si>
  <si>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</si>
  <si>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</si>
  <si>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</si>
  <si>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</si>
  <si>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</si>
  <si>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</si>
  <si>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</si>
  <si>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</si>
  <si>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</si>
  <si>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</si>
  <si>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</si>
  <si>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</si>
  <si>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</si>
  <si>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</si>
  <si>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</si>
  <si>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</si>
  <si>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</si>
  <si>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</si>
  <si>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</si>
  <si>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</si>
  <si>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</si>
  <si>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</si>
  <si>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</si>
  <si>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</si>
  <si>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</si>
  <si>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</si>
  <si>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</si>
  <si>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</si>
  <si>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</si>
  <si>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</si>
  <si>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</si>
  <si>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</si>
  <si>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</si>
  <si>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</si>
  <si>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</si>
  <si>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</si>
  <si>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</si>
  <si>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</si>
  <si>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</si>
  <si>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</si>
  <si>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</si>
  <si>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</si>
  <si>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</si>
  <si>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</si>
  <si>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</si>
  <si>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</si>
  <si>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</si>
  <si>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</si>
  <si>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</si>
  <si>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</si>
  <si>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</si>
  <si>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</si>
  <si>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</si>
  <si>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</si>
  <si>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</si>
  <si>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</si>
  <si>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</si>
  <si>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</si>
  <si>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</si>
  <si>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</si>
  <si>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</si>
  <si>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</si>
  <si>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</si>
  <si>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</si>
  <si>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</si>
  <si>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</si>
  <si>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</si>
  <si>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</si>
  <si>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</si>
  <si>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</si>
  <si>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</si>
  <si>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</si>
  <si>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</si>
  <si>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</si>
  <si>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</si>
  <si>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</si>
  <si>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</si>
  <si>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</si>
  <si>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</si>
  <si>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</si>
  <si>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</si>
  <si>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</si>
  <si>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</si>
  <si>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</si>
  <si>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</si>
  <si>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</si>
  <si>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</si>
  <si>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</si>
  <si>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</si>
  <si>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</si>
  <si>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</si>
  <si>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</si>
  <si>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</si>
  <si>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</si>
  <si>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</si>
  <si>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</si>
  <si>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</si>
  <si>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</si>
  <si>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</si>
  <si>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</si>
  <si>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</si>
  <si>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</si>
  <si>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</si>
  <si>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</si>
  <si>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</si>
  <si>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</si>
  <si>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</si>
  <si>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</si>
  <si>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</si>
  <si>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</si>
  <si>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</si>
  <si>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</si>
  <si>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</si>
  <si>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</si>
  <si>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</si>
  <si>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</si>
  <si>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</si>
  <si>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</si>
  <si>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</si>
  <si>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</si>
  <si>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</si>
  <si>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</si>
  <si>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</si>
  <si>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</si>
  <si>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</si>
  <si>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</si>
  <si>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</si>
  <si>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</si>
  <si>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</si>
  <si>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</si>
  <si>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</si>
  <si>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</si>
  <si>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</si>
  <si>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</si>
  <si>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</si>
  <si>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</si>
  <si>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</si>
  <si>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</si>
  <si>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</si>
  <si>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</si>
  <si>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</si>
  <si>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</si>
  <si>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</si>
  <si>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</si>
  <si>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</si>
  <si>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</si>
  <si>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</si>
  <si>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</si>
  <si>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</si>
  <si>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</si>
  <si>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</si>
  <si>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</si>
  <si>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</si>
  <si>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</si>
  <si>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</si>
  <si>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</si>
  <si>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</si>
  <si>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</si>
  <si>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</si>
  <si>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</si>
  <si>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</si>
  <si>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</si>
  <si>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</si>
  <si>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</si>
  <si>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</si>
  <si>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</si>
  <si>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</si>
  <si>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</si>
  <si>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</si>
  <si>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</si>
  <si>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</si>
  <si>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</si>
  <si>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</si>
  <si>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</si>
  <si>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</si>
  <si>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</si>
  <si>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</si>
  <si>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</si>
  <si>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</si>
  <si>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</si>
  <si>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</si>
  <si>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</si>
  <si>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</si>
  <si>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</si>
  <si>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</si>
  <si>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</si>
  <si>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</si>
  <si>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</si>
  <si>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</si>
  <si>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</si>
  <si>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</si>
  <si>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</si>
  <si>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</si>
  <si>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</si>
  <si>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</si>
  <si>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</si>
  <si>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</si>
  <si>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</si>
  <si>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</si>
  <si>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</si>
  <si>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</si>
  <si>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</si>
  <si>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</si>
  <si>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</si>
  <si>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</si>
  <si>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</si>
  <si>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</si>
  <si>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</si>
  <si>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</si>
  <si>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</si>
  <si>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</si>
  <si>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</si>
  <si>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</si>
  <si>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</si>
  <si>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</si>
  <si>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</si>
  <si>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</si>
  <si>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</si>
  <si>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</si>
  <si>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</si>
  <si>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</si>
  <si>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</si>
  <si>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</si>
  <si>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</si>
  <si>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</si>
  <si>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</si>
  <si>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</si>
  <si>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</si>
  <si>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</si>
  <si>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</si>
  <si>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</si>
  <si>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</si>
  <si>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</si>
  <si>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</si>
  <si>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</si>
  <si>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</si>
  <si>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</si>
  <si>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</si>
  <si>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</si>
  <si>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</si>
  <si>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</si>
  <si>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</si>
  <si>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</si>
  <si>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</si>
  <si>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</si>
  <si>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</si>
  <si>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</si>
  <si>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</si>
  <si>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</si>
  <si>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</si>
  <si>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</si>
  <si>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</si>
  <si>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</si>
  <si>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</si>
  <si>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</si>
  <si>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</si>
  <si>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</si>
  <si>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</si>
  <si>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</si>
  <si>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</si>
  <si>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</si>
  <si>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</si>
  <si>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</si>
  <si>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</si>
  <si>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</si>
  <si>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</si>
  <si>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</si>
  <si>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</si>
  <si>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</si>
  <si>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</si>
  <si>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</si>
  <si>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</si>
  <si>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</si>
  <si>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</si>
  <si>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</si>
  <si>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</si>
  <si>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</si>
  <si>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</si>
  <si>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</si>
  <si>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</si>
  <si>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</si>
  <si>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</si>
  <si>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</si>
  <si>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</si>
  <si>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</si>
  <si>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</si>
  <si>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</si>
  <si>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</si>
  <si>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</si>
  <si>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</si>
  <si>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</si>
  <si>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</si>
  <si>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</si>
  <si>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</si>
  <si>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</si>
  <si>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</si>
  <si>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</si>
  <si>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</si>
  <si>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</si>
  <si>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</si>
  <si>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</si>
  <si>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</si>
  <si>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</si>
  <si>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</si>
  <si>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</si>
  <si>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</si>
  <si>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</si>
  <si>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</si>
  <si>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</si>
  <si>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</si>
  <si>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</si>
  <si>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</si>
  <si>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</si>
  <si>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</si>
  <si>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</si>
  <si>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</si>
  <si>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</si>
  <si>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</si>
  <si>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</si>
  <si>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</si>
  <si>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</si>
  <si>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</si>
  <si>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</si>
  <si>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</si>
  <si>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</si>
  <si>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</si>
  <si>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</si>
  <si>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</si>
  <si>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</si>
  <si>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</si>
  <si>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</si>
  <si>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</si>
  <si>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</si>
  <si>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</si>
  <si>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</si>
  <si>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</si>
  <si>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</si>
  <si>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</si>
  <si>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</si>
  <si>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</si>
  <si>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</si>
  <si>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</si>
  <si>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</si>
  <si>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</si>
  <si>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</si>
  <si>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</si>
  <si>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</si>
  <si>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</si>
  <si>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</si>
  <si>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</si>
  <si>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</si>
  <si>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</si>
  <si>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</si>
  <si>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</si>
  <si>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</si>
  <si>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</si>
  <si>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</si>
  <si>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</si>
  <si>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</si>
  <si>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</si>
  <si>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</si>
  <si>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</si>
  <si>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</si>
  <si>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</si>
  <si>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</si>
  <si>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</si>
  <si>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</si>
  <si>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</si>
  <si>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</si>
  <si>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</si>
  <si>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</si>
  <si>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</si>
  <si>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</si>
  <si>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</si>
  <si>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</si>
  <si>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</si>
  <si>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</si>
  <si>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</si>
  <si>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</si>
  <si>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</si>
  <si>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</si>
  <si>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</si>
  <si>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</si>
  <si>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</si>
  <si>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</si>
  <si>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</si>
  <si>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</si>
  <si>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</si>
  <si>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</si>
  <si>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</si>
  <si>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</si>
  <si>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</si>
  <si>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</si>
  <si>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</si>
  <si>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</si>
  <si>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</si>
  <si>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</si>
  <si>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</si>
  <si>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</si>
  <si>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</si>
  <si>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</si>
  <si>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</si>
  <si>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</si>
  <si>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</si>
  <si>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</si>
  <si>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</si>
  <si>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</si>
  <si>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</si>
  <si>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</si>
  <si>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</si>
  <si>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</si>
  <si>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</si>
  <si>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</si>
  <si>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</si>
  <si>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</si>
  <si>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</si>
  <si>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</si>
  <si>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</si>
  <si>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</si>
  <si>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</si>
  <si>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</si>
  <si>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</si>
  <si>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</si>
  <si>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</si>
  <si>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</si>
  <si>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</si>
  <si>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</si>
  <si>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</si>
  <si>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</si>
  <si>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</si>
  <si>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</si>
  <si>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</si>
  <si>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</si>
  <si>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</si>
  <si>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</si>
  <si>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</si>
  <si>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</si>
  <si>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</si>
  <si>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</si>
  <si>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</si>
  <si>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</si>
  <si>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</si>
  <si>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</si>
  <si>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</si>
  <si>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</si>
  <si>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</si>
  <si>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</si>
  <si>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</si>
  <si>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</si>
  <si>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</si>
  <si>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</si>
  <si>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</si>
  <si>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</si>
  <si>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</si>
  <si>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</si>
  <si>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</si>
  <si>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</si>
  <si>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</si>
  <si>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</si>
  <si>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</si>
  <si>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</si>
  <si>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</si>
  <si>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</si>
  <si>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</si>
  <si>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</si>
  <si>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</si>
  <si>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</si>
  <si>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</si>
  <si>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</si>
  <si>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</si>
  <si>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</si>
  <si>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</si>
  <si>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</si>
  <si>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</si>
  <si>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</si>
  <si>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</si>
  <si>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</si>
  <si>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</si>
  <si>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</si>
  <si>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</si>
  <si>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</si>
  <si>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</si>
  <si>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</si>
  <si>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</si>
  <si>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</si>
  <si>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</si>
  <si>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</si>
  <si>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</si>
  <si>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</si>
  <si>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</si>
  <si>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</si>
  <si>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</si>
  <si>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</si>
  <si>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</si>
  <si>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</si>
  <si>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</si>
  <si>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</si>
  <si>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</si>
  <si>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</si>
  <si>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</si>
  <si>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</si>
  <si>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</si>
  <si>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</si>
  <si>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</si>
  <si>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</si>
  <si>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</si>
  <si>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</si>
  <si>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</si>
  <si>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</si>
  <si>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</si>
  <si>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</si>
  <si>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</si>
  <si>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</si>
  <si>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</si>
  <si>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</si>
  <si>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</si>
  <si>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</si>
  <si>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</si>
  <si>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</si>
  <si>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</si>
  <si>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</si>
  <si>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</si>
  <si>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</si>
  <si>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</si>
  <si>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</si>
  <si>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</si>
  <si>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</si>
  <si>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</si>
  <si>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</si>
  <si>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</si>
  <si>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</si>
  <si>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</si>
  <si>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</si>
  <si>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</si>
  <si>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</si>
  <si>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</si>
  <si>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</si>
  <si>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</si>
  <si>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</si>
  <si>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</si>
  <si>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</si>
  <si>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</si>
  <si>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</si>
  <si>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</si>
  <si>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</si>
  <si>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</si>
  <si>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</si>
  <si>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</si>
  <si>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</si>
  <si>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</si>
  <si>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</si>
  <si>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</si>
  <si>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</si>
  <si>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</si>
  <si>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</si>
  <si>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</si>
  <si>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</si>
  <si>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</si>
  <si>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</si>
  <si>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</si>
  <si>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</si>
  <si>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</si>
  <si>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</si>
  <si>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</si>
  <si>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</si>
  <si>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</si>
  <si>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</si>
  <si>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</si>
  <si>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</si>
  <si>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</si>
  <si>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</si>
  <si>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</si>
  <si>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</si>
  <si>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</si>
  <si>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</si>
  <si>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</si>
  <si>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</si>
  <si>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</si>
  <si>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</si>
  <si>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</si>
  <si>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</si>
  <si>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</si>
  <si>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</si>
  <si>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</si>
  <si>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</si>
  <si>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</si>
  <si>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</si>
  <si>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</si>
  <si>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</si>
  <si>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</si>
  <si>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</si>
  <si>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</si>
  <si>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</si>
  <si>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</si>
  <si>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</si>
  <si>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</si>
  <si>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</si>
  <si>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</si>
  <si>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</si>
  <si>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</si>
  <si>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</si>
  <si>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</si>
  <si>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</si>
  <si>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</si>
  <si>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</si>
  <si>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</si>
  <si>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</si>
  <si>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</si>
  <si>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</si>
  <si>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</si>
  <si>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</si>
  <si>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</si>
  <si>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</si>
  <si>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</si>
  <si>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</si>
  <si>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</si>
  <si>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</si>
  <si>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</si>
  <si>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</si>
  <si>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</si>
  <si>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</si>
  <si>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</si>
  <si>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</si>
  <si>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</si>
  <si>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</si>
  <si>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</si>
  <si>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</si>
  <si>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</si>
  <si>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</si>
  <si>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</si>
  <si>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</si>
  <si>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</si>
  <si>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</si>
  <si>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</si>
  <si>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</si>
  <si>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</si>
  <si>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</si>
  <si>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</si>
  <si>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</si>
  <si>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</si>
  <si>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</si>
  <si>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</si>
  <si>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</si>
  <si>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</si>
  <si>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</si>
  <si>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</si>
  <si>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</si>
  <si>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</si>
  <si>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</si>
  <si>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</si>
  <si>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</si>
  <si>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</si>
  <si>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</si>
  <si>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</si>
  <si>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</si>
  <si>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</si>
  <si>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</si>
  <si>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</si>
  <si>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</si>
  <si>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</si>
  <si>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</si>
  <si>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</si>
  <si>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</si>
  <si>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</si>
  <si>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</si>
  <si>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</si>
  <si>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</si>
  <si>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</si>
  <si>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</si>
  <si>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</si>
  <si>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</si>
  <si>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</si>
  <si>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</si>
  <si>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</si>
  <si>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</si>
  <si>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</si>
  <si>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</si>
  <si>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</si>
  <si>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</si>
  <si>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</si>
  <si>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</si>
  <si>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</si>
  <si>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</si>
  <si>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</si>
  <si>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</si>
  <si>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</si>
  <si>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</si>
  <si>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</si>
  <si>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</si>
  <si>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</si>
  <si>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</si>
  <si>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</si>
  <si>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</si>
  <si>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</si>
  <si>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</si>
  <si>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</si>
  <si>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</si>
  <si>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</si>
  <si>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</si>
  <si>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</si>
  <si>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</si>
  <si>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</si>
  <si>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</si>
  <si>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</si>
  <si>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</si>
  <si>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</si>
  <si>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</si>
  <si>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</si>
  <si>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</si>
  <si>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</si>
  <si>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</si>
  <si>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</si>
  <si>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</si>
  <si>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</si>
  <si>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</si>
  <si>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</si>
  <si>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</si>
  <si>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</si>
  <si>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</si>
  <si>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</si>
  <si>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</si>
  <si>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</si>
  <si>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</si>
  <si>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</si>
  <si>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</si>
  <si>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</si>
  <si>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</si>
  <si>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</si>
  <si>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</si>
  <si>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</si>
  <si>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</si>
  <si>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</si>
  <si>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</si>
  <si>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</si>
  <si>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</si>
  <si>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</si>
  <si>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</si>
  <si>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</si>
  <si>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</si>
  <si>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</si>
  <si>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</si>
  <si>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</si>
  <si>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</si>
  <si>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</si>
  <si>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</si>
  <si>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</si>
  <si>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</si>
  <si>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</si>
  <si>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</si>
  <si>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</si>
  <si>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</si>
  <si>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</si>
  <si>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</si>
  <si>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</si>
  <si>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</si>
  <si>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</si>
  <si>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</si>
  <si>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</si>
  <si>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</si>
  <si>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</si>
  <si>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</si>
  <si>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</si>
  <si>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</si>
  <si>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</si>
  <si>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</si>
  <si>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</si>
  <si>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</si>
  <si>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</si>
  <si>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</si>
  <si>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</si>
  <si>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</si>
  <si>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</si>
  <si>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</si>
  <si>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</si>
  <si>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</si>
  <si>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</si>
  <si>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</si>
  <si>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</si>
  <si>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</si>
  <si>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</si>
  <si>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</si>
  <si>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</si>
  <si>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</si>
  <si>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</si>
  <si>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</si>
  <si>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</si>
  <si>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</si>
  <si>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</si>
  <si>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</si>
  <si>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</si>
  <si>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</si>
  <si>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</si>
  <si>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</si>
  <si>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</si>
  <si>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</si>
  <si>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</si>
  <si>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</si>
  <si>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</si>
  <si>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</si>
  <si>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</si>
  <si>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</si>
  <si>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</si>
  <si>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</si>
  <si>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</si>
  <si>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</si>
  <si>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</si>
  <si>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</si>
  <si>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</si>
  <si>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</si>
  <si>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</si>
  <si>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</si>
  <si>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</si>
  <si>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</si>
  <si>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</si>
  <si>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</si>
  <si>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</si>
  <si>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</si>
  <si>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</si>
  <si>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</si>
  <si>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</si>
  <si>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</si>
  <si>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</si>
  <si>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</si>
  <si>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</si>
  <si>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</si>
  <si>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</si>
  <si>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</si>
  <si>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</si>
  <si>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</si>
  <si>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</si>
  <si>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</si>
  <si>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</si>
  <si>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</si>
  <si>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</si>
  <si>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</si>
  <si>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</si>
  <si>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</si>
  <si>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</si>
  <si>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</si>
  <si>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</si>
  <si>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</si>
  <si>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</si>
  <si>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</si>
  <si>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</si>
  <si>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</si>
  <si>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</si>
  <si>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</si>
  <si>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</si>
  <si>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</si>
  <si>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</si>
  <si>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</si>
  <si>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</si>
  <si>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</si>
  <si>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</si>
  <si>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</si>
  <si>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</si>
  <si>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</si>
  <si>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</si>
  <si>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</si>
  <si>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</si>
  <si>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</si>
  <si>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</si>
  <si>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</si>
  <si>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</si>
  <si>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</si>
  <si>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</si>
  <si>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</si>
  <si>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</si>
  <si>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</si>
  <si>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</si>
  <si>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</si>
  <si>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</si>
  <si>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</si>
  <si>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</si>
  <si>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</si>
  <si>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</si>
  <si>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</si>
  <si>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</si>
  <si>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</si>
  <si>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</si>
  <si>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</si>
  <si>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</si>
  <si>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</si>
  <si>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</si>
  <si>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</si>
  <si>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</si>
  <si>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</si>
  <si>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</si>
  <si>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</si>
  <si>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</si>
  <si>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</si>
  <si>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</si>
  <si>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</si>
  <si>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</si>
  <si>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</si>
  <si>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</si>
  <si>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</si>
  <si>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</si>
  <si>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</si>
  <si>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</si>
  <si>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</si>
  <si>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</si>
  <si>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</si>
  <si>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</si>
  <si>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</si>
  <si>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</si>
  <si>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</si>
  <si>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</si>
  <si>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</si>
  <si>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</si>
  <si>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</si>
  <si>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</si>
  <si>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</si>
  <si>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</si>
  <si>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</si>
  <si>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</si>
  <si>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</si>
  <si>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</si>
  <si>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</si>
  <si>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</si>
  <si>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</si>
  <si>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</si>
  <si>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</si>
  <si>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</si>
  <si>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</si>
  <si>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</si>
  <si>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</si>
  <si>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</si>
  <si>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</si>
  <si>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</si>
  <si>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</si>
  <si>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</si>
  <si>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</si>
  <si>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</si>
  <si>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</si>
  <si>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</si>
  <si>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</si>
  <si>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</si>
  <si>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</si>
  <si>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</si>
  <si>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</si>
  <si>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</si>
  <si>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</si>
  <si>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</si>
  <si>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</si>
  <si>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</si>
  <si>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</si>
  <si>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</si>
  <si>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</si>
  <si>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</si>
  <si>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</si>
  <si>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</si>
  <si>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</si>
  <si>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</si>
  <si>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</si>
  <si>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</si>
  <si>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</si>
  <si>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</si>
  <si>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</si>
  <si>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</si>
  <si>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</si>
  <si>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</si>
  <si>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</si>
  <si>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</si>
  <si>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</si>
  <si>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</si>
  <si>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</si>
  <si>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</si>
  <si>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</si>
  <si>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</si>
  <si>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</si>
  <si>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</si>
  <si>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</si>
  <si>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</si>
  <si>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</si>
  <si>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</si>
  <si>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</si>
  <si>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</si>
  <si>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</si>
  <si>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</si>
  <si>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</si>
  <si>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</si>
  <si>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</si>
  <si>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</si>
  <si>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</si>
  <si>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</si>
  <si>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</si>
  <si>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</si>
  <si>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</si>
  <si>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</si>
  <si>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</si>
  <si>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</si>
  <si>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</si>
  <si>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</si>
  <si>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</si>
  <si>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</si>
  <si>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</si>
  <si>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</si>
  <si>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</si>
  <si>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</si>
  <si>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</si>
  <si>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</si>
  <si>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</si>
  <si>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</si>
  <si>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</si>
  <si>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</si>
  <si>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</si>
  <si>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</si>
  <si>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</si>
  <si>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</si>
  <si>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</si>
  <si>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</si>
  <si>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</si>
  <si>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</si>
  <si>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</si>
  <si>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</si>
  <si>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</si>
  <si>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</si>
  <si>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</si>
  <si>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</si>
  <si>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</si>
  <si>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</si>
  <si>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</si>
  <si>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</si>
  <si>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</si>
  <si>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</si>
  <si>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</si>
  <si>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</si>
  <si>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</si>
  <si>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</si>
  <si>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</si>
  <si>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</si>
  <si>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</si>
  <si>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</si>
  <si>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</si>
  <si>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</si>
  <si>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</si>
  <si>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</si>
  <si>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</si>
  <si>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</si>
  <si>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</si>
  <si>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</si>
  <si>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</si>
  <si>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</si>
  <si>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</si>
  <si>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</si>
  <si>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</si>
  <si>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</si>
  <si>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</si>
  <si>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</si>
  <si>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</si>
  <si>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</si>
  <si>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</si>
  <si>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</si>
  <si>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</si>
  <si>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</si>
  <si>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</si>
  <si>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</si>
  <si>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</si>
  <si>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</si>
  <si>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</si>
  <si>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</si>
  <si>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</si>
  <si>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</si>
  <si>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</si>
  <si>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</si>
  <si>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</si>
  <si>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</si>
  <si>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</si>
  <si>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</si>
  <si>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</si>
  <si>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</si>
  <si>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</si>
  <si>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</si>
  <si>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</si>
  <si>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</si>
  <si>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</si>
  <si>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</si>
  <si>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</si>
  <si>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</si>
  <si>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</si>
  <si>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</si>
  <si>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</si>
  <si>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</si>
  <si>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</si>
  <si>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</si>
  <si>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</si>
  <si>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</si>
  <si>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</si>
  <si>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</si>
  <si>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</si>
  <si>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</si>
  <si>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</si>
  <si>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</si>
  <si>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</si>
  <si>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</si>
  <si>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</si>
  <si>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</si>
  <si>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</si>
  <si>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</si>
  <si>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</si>
  <si>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</si>
  <si>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</si>
  <si>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</si>
  <si>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</si>
  <si>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</si>
  <si>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</si>
  <si>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</si>
  <si>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</si>
  <si>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</si>
  <si>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</si>
  <si>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</si>
  <si>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</si>
  <si>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</si>
  <si>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</si>
  <si>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</si>
  <si>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</si>
  <si>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</si>
  <si>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</si>
  <si>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</si>
  <si>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</si>
  <si>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</si>
  <si>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</si>
  <si>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</si>
  <si>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</si>
  <si>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</si>
  <si>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</si>
  <si>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</si>
  <si>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</si>
  <si>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</si>
  <si>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</si>
  <si>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</si>
  <si>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</si>
  <si>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</si>
  <si>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</si>
  <si>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</si>
  <si>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</si>
  <si>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</si>
  <si>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</si>
  <si>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</si>
  <si>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</si>
  <si>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</si>
  <si>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</si>
  <si>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</si>
  <si>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</si>
  <si>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</si>
  <si>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</si>
  <si>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</si>
  <si>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</si>
  <si>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</si>
  <si>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</si>
  <si>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</si>
  <si>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</si>
  <si>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</si>
  <si>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</si>
  <si>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</si>
  <si>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</si>
  <si>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</si>
  <si>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</si>
  <si>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</si>
  <si>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</si>
  <si>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</si>
  <si>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</si>
  <si>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</si>
  <si>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</si>
  <si>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</si>
  <si>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</si>
  <si>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</si>
  <si>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</si>
  <si>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</si>
  <si>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</si>
  <si>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</si>
  <si>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</si>
  <si>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</si>
  <si>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</si>
  <si>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</si>
  <si>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</si>
  <si>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</si>
  <si>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</si>
  <si>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</si>
  <si>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</si>
  <si>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</si>
  <si>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</si>
  <si>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</si>
  <si>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</si>
  <si>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</si>
  <si>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</si>
  <si>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</si>
  <si>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</si>
  <si>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</si>
  <si>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</si>
  <si>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</si>
  <si>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</si>
  <si>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</si>
  <si>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</si>
  <si>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</si>
  <si>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</si>
  <si>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</si>
  <si>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</si>
  <si>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</si>
  <si>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</si>
  <si>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</si>
  <si>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</si>
  <si>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</si>
  <si>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</si>
  <si>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</si>
  <si>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</si>
  <si>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</si>
  <si>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</si>
  <si>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</si>
  <si>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</si>
  <si>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</si>
  <si>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</si>
  <si>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</si>
  <si>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</si>
  <si>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</si>
  <si>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</si>
  <si>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</si>
  <si>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</si>
  <si>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</si>
  <si>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</si>
  <si>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</si>
  <si>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</si>
  <si>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</si>
  <si>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</si>
  <si>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</si>
  <si>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</si>
  <si>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</si>
  <si>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</si>
  <si>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</si>
  <si>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</si>
  <si>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</si>
  <si>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</si>
  <si>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</si>
  <si>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</si>
  <si>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</si>
  <si>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</si>
  <si>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</si>
  <si>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</si>
  <si>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</si>
  <si>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</si>
  <si>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</si>
  <si>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</si>
  <si>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</si>
  <si>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</si>
  <si>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</si>
  <si>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</si>
  <si>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</si>
  <si>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</si>
  <si>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</si>
  <si>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</si>
  <si>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</si>
  <si>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</si>
  <si>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</si>
  <si>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</si>
  <si>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</si>
  <si>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</si>
  <si>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</si>
  <si>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</si>
  <si>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</si>
  <si>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</si>
  <si>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</si>
  <si>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</si>
  <si>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</si>
  <si>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</si>
  <si>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</si>
  <si>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</si>
  <si>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</si>
  <si>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</si>
  <si>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</si>
  <si>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</si>
  <si>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</si>
  <si>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</si>
  <si>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</si>
  <si>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</si>
  <si>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</si>
  <si>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</si>
  <si>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</si>
  <si>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</si>
  <si>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</si>
  <si>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</si>
  <si>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</si>
  <si>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</si>
  <si>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</si>
  <si>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</si>
  <si>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</si>
  <si>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</si>
  <si>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</si>
  <si>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</si>
  <si>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</si>
  <si>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</si>
  <si>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</si>
  <si>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</si>
  <si>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</si>
  <si>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</si>
  <si>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</si>
  <si>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</si>
  <si>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</si>
  <si>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</si>
  <si>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</si>
  <si>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</si>
  <si>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</si>
  <si>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</si>
  <si>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</si>
  <si>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</si>
  <si>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</si>
  <si>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</si>
  <si>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</si>
  <si>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</si>
  <si>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</si>
  <si>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</si>
  <si>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</si>
  <si>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</si>
  <si>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</si>
  <si>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</si>
  <si>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</si>
  <si>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</si>
  <si>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</si>
  <si>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</si>
  <si>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</si>
  <si>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</si>
  <si>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</si>
  <si>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</si>
  <si>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</si>
  <si>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</si>
  <si>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</si>
  <si>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</si>
  <si>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</si>
  <si>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</si>
  <si>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</si>
  <si>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</si>
  <si>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</si>
  <si>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</si>
  <si>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</si>
  <si>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</si>
  <si>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</si>
  <si>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</si>
  <si>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</si>
  <si>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</si>
  <si>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</si>
  <si>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</si>
  <si>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</si>
  <si>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</si>
  <si>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</si>
  <si>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</si>
  <si>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</si>
  <si>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</si>
  <si>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</si>
  <si>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</si>
  <si>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</si>
  <si>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</si>
  <si>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</si>
  <si>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</si>
  <si>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</si>
  <si>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</si>
  <si>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</si>
  <si>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</si>
  <si>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</si>
  <si>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</si>
  <si>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</si>
  <si>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</si>
  <si>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</si>
  <si>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</si>
  <si>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</si>
  <si>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</si>
  <si>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</si>
  <si>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</si>
  <si>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</si>
  <si>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</si>
  <si>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</si>
  <si>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</si>
  <si>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</si>
  <si>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</si>
  <si>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</si>
  <si>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</si>
  <si>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</si>
  <si>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</si>
  <si>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</si>
  <si>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</si>
  <si>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</si>
  <si>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</si>
  <si>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</si>
  <si>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</si>
  <si>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</si>
  <si>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</si>
  <si>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</si>
  <si>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</si>
  <si>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</si>
  <si>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</si>
  <si>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</si>
  <si>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</si>
  <si>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</si>
  <si>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</si>
  <si>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</si>
  <si>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</si>
  <si>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</si>
  <si>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</si>
  <si>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</si>
  <si>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</si>
  <si>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</si>
  <si>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</si>
  <si>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</si>
  <si>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</si>
  <si>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</si>
  <si>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</si>
  <si>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</si>
  <si>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</si>
  <si>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</si>
  <si>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</si>
  <si>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</si>
  <si>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</si>
  <si>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</si>
  <si>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</si>
  <si>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</si>
  <si>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</si>
  <si>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</si>
  <si>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</si>
  <si>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</si>
  <si>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</si>
  <si>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</si>
  <si>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</si>
  <si>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</si>
  <si>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</si>
  <si>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</si>
  <si>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</si>
  <si>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</si>
  <si>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</si>
  <si>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</si>
  <si>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</si>
  <si>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</si>
  <si>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</si>
  <si>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</si>
  <si>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</si>
  <si>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</si>
  <si>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</si>
  <si>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</si>
  <si>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</si>
  <si>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</si>
  <si>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</si>
  <si>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</si>
  <si>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</si>
  <si>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</si>
  <si>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</si>
  <si>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</si>
  <si>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</si>
  <si>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</si>
  <si>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</si>
  <si>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</si>
  <si>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</si>
  <si>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</si>
  <si>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</si>
  <si>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</si>
  <si>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</si>
  <si>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</si>
  <si>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</si>
  <si>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</si>
  <si>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</si>
  <si>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</si>
  <si>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</si>
  <si>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</si>
  <si>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</si>
  <si>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</si>
  <si>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</si>
  <si>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</si>
  <si>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</si>
  <si>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</si>
  <si>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</si>
  <si>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</si>
  <si>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</si>
  <si>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</si>
  <si>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</si>
  <si>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</si>
  <si>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</si>
  <si>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</si>
  <si>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</si>
  <si>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</si>
  <si>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</si>
  <si>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</si>
  <si>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</si>
  <si>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</si>
  <si>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</si>
  <si>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</si>
  <si>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</si>
  <si>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</si>
  <si>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</si>
  <si>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</si>
  <si>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</si>
  <si>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</si>
  <si>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</si>
  <si>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</si>
  <si>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</si>
  <si>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</si>
  <si>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</si>
  <si>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</si>
  <si>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</si>
  <si>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</si>
  <si>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</si>
  <si>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</si>
  <si>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</si>
  <si>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</si>
  <si>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</si>
  <si>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</si>
  <si>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</si>
  <si>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</si>
  <si>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</si>
  <si>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</si>
  <si>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</si>
  <si>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</si>
  <si>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</si>
  <si>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</si>
  <si>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</si>
  <si>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</si>
  <si>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</si>
  <si>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</si>
  <si>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</si>
  <si>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</si>
  <si>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</si>
  <si>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</si>
  <si>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</si>
  <si>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</si>
  <si>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</si>
  <si>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</si>
  <si>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</si>
  <si>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</si>
  <si>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</si>
  <si>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</si>
  <si>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</si>
  <si>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</si>
  <si>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</si>
  <si>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</si>
  <si>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</si>
  <si>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</si>
  <si>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</si>
  <si>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</si>
  <si>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</si>
  <si>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</si>
  <si>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</si>
  <si>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</si>
  <si>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</si>
  <si>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</si>
  <si>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</si>
  <si>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</si>
  <si>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</si>
  <si>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</si>
  <si>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</si>
  <si>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</si>
  <si>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</si>
  <si>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</si>
  <si>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</si>
  <si>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</si>
  <si>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</si>
  <si>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</si>
  <si>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</si>
  <si>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</si>
  <si>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</si>
  <si>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</si>
  <si>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</si>
  <si>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</si>
  <si>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</si>
  <si>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</si>
  <si>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</si>
  <si>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</si>
  <si>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</si>
  <si>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</si>
  <si>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</si>
  <si>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</si>
  <si>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</si>
  <si>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</si>
  <si>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</si>
  <si>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</si>
  <si>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</si>
  <si>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</si>
  <si>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</si>
  <si>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</si>
  <si>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</si>
  <si>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</si>
  <si>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</si>
  <si>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</si>
  <si>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</si>
  <si>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</si>
  <si>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</si>
  <si>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</si>
  <si>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</si>
  <si>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</si>
  <si>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</si>
  <si>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</si>
  <si>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</si>
  <si>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</si>
  <si>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</si>
  <si>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</si>
  <si>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</si>
  <si>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</si>
  <si>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</si>
  <si>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</si>
  <si>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</si>
  <si>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</si>
  <si>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</si>
  <si>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</si>
  <si>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</si>
  <si>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</si>
  <si>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</si>
  <si>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</si>
  <si>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</si>
  <si>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</si>
  <si>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</si>
  <si>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</si>
  <si>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</si>
  <si>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</si>
  <si>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</si>
  <si>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</si>
  <si>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</si>
  <si>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</si>
  <si>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</si>
  <si>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</si>
  <si>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</si>
  <si>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</si>
  <si>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</si>
  <si>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</si>
  <si>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</si>
  <si>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</si>
  <si>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</si>
  <si>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</si>
  <si>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</si>
  <si>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</si>
  <si>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</si>
  <si>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</si>
  <si>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</si>
  <si>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</si>
  <si>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</si>
  <si>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</si>
  <si>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</si>
  <si>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</si>
  <si>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</si>
  <si>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</si>
  <si>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</si>
  <si>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</si>
  <si>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</si>
  <si>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</si>
  <si>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</si>
  <si>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</si>
  <si>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</si>
  <si>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</si>
  <si>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</si>
  <si>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</si>
  <si>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</si>
  <si>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</si>
  <si>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</si>
  <si>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</si>
  <si>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</si>
  <si>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</si>
  <si>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</si>
  <si>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</si>
  <si>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</si>
  <si>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</si>
  <si>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</si>
  <si>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</si>
  <si>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</si>
  <si>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</si>
  <si>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</si>
  <si>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</si>
  <si>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</si>
  <si>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</si>
  <si>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</si>
  <si>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</si>
  <si>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</si>
  <si>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</si>
  <si>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</si>
  <si>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</si>
  <si>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</si>
  <si>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</si>
  <si>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</si>
  <si>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</si>
  <si>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</si>
  <si>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</si>
  <si>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</si>
  <si>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</si>
  <si>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</si>
  <si>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</si>
  <si>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</si>
  <si>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</si>
  <si>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</si>
  <si>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</si>
  <si>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</si>
  <si>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</si>
  <si>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</si>
  <si>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</si>
  <si>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</si>
  <si>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</si>
  <si>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</si>
  <si>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</si>
  <si>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</si>
  <si>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</si>
  <si>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</si>
  <si>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</si>
  <si>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</si>
  <si>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</si>
  <si>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</si>
  <si>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</si>
  <si>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</si>
  <si>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</si>
  <si>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</si>
  <si>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</si>
  <si>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</si>
  <si>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</si>
  <si>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</si>
  <si>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</si>
  <si>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</si>
  <si>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</si>
  <si>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</si>
  <si>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</si>
  <si>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</si>
  <si>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</si>
  <si>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</si>
  <si>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</si>
  <si>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</si>
  <si>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</si>
  <si>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</si>
  <si>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</si>
  <si>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</si>
  <si>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</si>
  <si>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</si>
  <si>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</si>
  <si>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</si>
  <si>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</si>
  <si>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</si>
  <si>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</si>
  <si>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</si>
  <si>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</si>
  <si>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</si>
  <si>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</si>
  <si>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</si>
  <si>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</si>
  <si>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</si>
  <si>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</si>
  <si>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</si>
  <si>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</si>
  <si>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</si>
  <si>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</si>
  <si>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</si>
  <si>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</si>
  <si>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</si>
  <si>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</si>
  <si>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</si>
  <si>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</si>
  <si>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</si>
  <si>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</si>
  <si>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</si>
  <si>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</si>
  <si>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</si>
  <si>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</si>
  <si>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</si>
  <si>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</si>
  <si>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</si>
  <si>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</si>
  <si>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</si>
  <si>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</si>
  <si>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</si>
  <si>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</si>
  <si>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</si>
  <si>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</si>
  <si>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</si>
  <si>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</si>
  <si>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</si>
  <si>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</si>
  <si>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</si>
  <si>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</si>
  <si>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</si>
  <si>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</si>
  <si>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</si>
  <si>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</si>
  <si>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</si>
  <si>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</si>
  <si>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</si>
  <si>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</si>
  <si>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</si>
  <si>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</si>
  <si>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</si>
  <si>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</si>
  <si>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</si>
  <si>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</si>
  <si>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</si>
  <si>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</si>
  <si>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</si>
  <si>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</si>
  <si>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</si>
  <si>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</si>
  <si>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</si>
  <si>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</si>
  <si>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</si>
  <si>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</si>
  <si>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</si>
  <si>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</si>
  <si>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</si>
  <si>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</si>
  <si>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</si>
  <si>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</si>
  <si>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</si>
  <si>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</si>
  <si>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</si>
  <si>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</si>
  <si>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</si>
  <si>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</si>
  <si>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</si>
  <si>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</si>
  <si>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</si>
  <si>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</si>
  <si>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</si>
  <si>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</si>
  <si>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</si>
  <si>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</si>
  <si>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</si>
  <si>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</si>
  <si>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</si>
  <si>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</si>
  <si>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</si>
  <si>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</si>
  <si>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</si>
  <si>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</si>
  <si>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</si>
  <si>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</si>
  <si>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</si>
  <si>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</si>
  <si>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</si>
  <si>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</si>
  <si>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</si>
  <si>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</si>
  <si>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</si>
  <si>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</si>
  <si>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</si>
  <si>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</si>
  <si>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</si>
  <si>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</si>
  <si>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</si>
  <si>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</si>
  <si>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</si>
  <si>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</si>
  <si>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</si>
  <si>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</si>
  <si>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</si>
  <si>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</si>
  <si>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</si>
  <si>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</si>
  <si>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</si>
  <si>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</si>
  <si>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</si>
  <si>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</si>
  <si>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</si>
  <si>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</si>
  <si>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</si>
  <si>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</si>
  <si>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</si>
  <si>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</si>
  <si>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</si>
  <si>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</si>
  <si>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</si>
  <si>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</si>
  <si>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</si>
  <si>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</si>
  <si>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</si>
  <si>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</si>
  <si>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</si>
  <si>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</si>
  <si>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</si>
  <si>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</si>
  <si>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</si>
  <si>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</si>
  <si>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</si>
  <si>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</si>
  <si>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</si>
  <si>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</si>
  <si>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</si>
  <si>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</si>
  <si>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</si>
  <si>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</si>
  <si>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</si>
  <si>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</si>
  <si>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</si>
  <si>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</si>
  <si>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</si>
  <si>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</si>
  <si>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</si>
  <si>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</si>
  <si>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</si>
  <si>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</si>
  <si>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</si>
  <si>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</si>
  <si>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</si>
  <si>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</si>
  <si>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</si>
  <si>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</si>
  <si>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</si>
  <si>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</si>
  <si>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</si>
  <si>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</si>
  <si>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</si>
  <si>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</si>
  <si>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</si>
  <si>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</si>
  <si>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</si>
  <si>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</si>
  <si>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</si>
  <si>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</si>
  <si>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</si>
  <si>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</si>
  <si>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</si>
  <si>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</si>
  <si>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</si>
  <si>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</si>
  <si>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</si>
  <si>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</si>
  <si>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</si>
  <si>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</si>
  <si>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</si>
  <si>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</si>
  <si>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</si>
  <si>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</si>
  <si>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</si>
  <si>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</si>
  <si>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</si>
  <si>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</si>
  <si>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</si>
  <si>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</si>
  <si>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</si>
  <si>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</si>
  <si>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</si>
  <si>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</si>
  <si>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</si>
  <si>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</si>
  <si>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</si>
  <si>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</si>
  <si>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</si>
  <si>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</si>
  <si>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</si>
  <si>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</si>
  <si>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</si>
  <si>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</si>
  <si>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</si>
  <si>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</si>
  <si>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</si>
  <si>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</si>
  <si>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</si>
  <si>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</si>
  <si>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</si>
  <si>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</si>
  <si>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</si>
  <si>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</si>
  <si>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</si>
  <si>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</si>
  <si>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</si>
  <si>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</si>
  <si>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</si>
  <si>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</si>
  <si>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</si>
  <si>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</si>
  <si>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</si>
  <si>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</si>
  <si>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</si>
  <si>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</si>
  <si>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</si>
  <si>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</si>
  <si>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</si>
  <si>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</si>
  <si>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</si>
  <si>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</si>
  <si>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</si>
  <si>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</si>
  <si>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</si>
  <si>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</si>
  <si>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</si>
  <si>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</si>
  <si>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</si>
  <si>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</si>
  <si>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</si>
  <si>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</si>
  <si>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</si>
  <si>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</si>
  <si>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</si>
  <si>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</si>
  <si>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</si>
  <si>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</si>
  <si>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</si>
  <si>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</si>
  <si>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</si>
  <si>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</si>
  <si>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</si>
  <si>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</si>
  <si>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</si>
  <si>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</si>
  <si>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</si>
  <si>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</si>
  <si>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</si>
  <si>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</si>
  <si>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</si>
  <si>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</si>
  <si>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</si>
  <si>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</si>
  <si>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</si>
  <si>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</si>
  <si>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</si>
  <si>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</si>
  <si>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</si>
  <si>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</si>
  <si>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</si>
  <si>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</si>
  <si>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</si>
  <si>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</si>
  <si>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</si>
  <si>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</si>
  <si>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</si>
  <si>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</si>
  <si>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</si>
  <si>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</si>
  <si>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</si>
  <si>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</si>
  <si>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</si>
  <si>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</si>
  <si>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</si>
  <si>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</si>
  <si>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</si>
  <si>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</si>
  <si>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</si>
  <si>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</si>
  <si>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</si>
  <si>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</si>
  <si>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</si>
  <si>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</si>
  <si>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</si>
  <si>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</si>
  <si>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</si>
  <si>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</si>
  <si>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</si>
  <si>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</si>
  <si>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</si>
  <si>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</si>
  <si>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</si>
  <si>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</si>
  <si>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</si>
  <si>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</si>
  <si>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</si>
  <si>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</si>
  <si>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</si>
  <si>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</si>
  <si>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</si>
  <si>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</si>
  <si>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</si>
  <si>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</si>
  <si>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</si>
  <si>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</si>
  <si>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</si>
  <si>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</si>
  <si>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</si>
  <si>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</si>
  <si>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</si>
  <si>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</si>
  <si>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</si>
  <si>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</si>
  <si>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</si>
  <si>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</si>
  <si>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</si>
  <si>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</si>
  <si>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</si>
  <si>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</si>
  <si>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</si>
  <si>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</si>
  <si>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</si>
  <si>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</si>
  <si>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</si>
  <si>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</si>
  <si>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</si>
  <si>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</si>
  <si>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</si>
  <si>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</si>
  <si>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</si>
  <si>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</si>
  <si>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</si>
  <si>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</si>
  <si>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</si>
  <si>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</si>
  <si>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</si>
  <si>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</si>
  <si>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</si>
  <si>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</si>
  <si>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</si>
  <si>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</si>
  <si>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</si>
  <si>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</si>
  <si>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</si>
  <si>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</si>
  <si>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</si>
  <si>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</si>
  <si>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</si>
  <si>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</si>
  <si>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</si>
  <si>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</si>
  <si>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</si>
  <si>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</si>
  <si>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</si>
  <si>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</si>
  <si>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</si>
  <si>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</si>
  <si>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</si>
  <si>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</si>
  <si>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</si>
  <si>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</si>
  <si>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</si>
  <si>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</si>
  <si>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</si>
  <si>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</si>
  <si>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</si>
  <si>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</si>
  <si>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</si>
  <si>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</si>
  <si>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</si>
  <si>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</si>
  <si>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</si>
  <si>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</si>
  <si>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</si>
  <si>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</si>
  <si>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</si>
  <si>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</si>
  <si>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</si>
  <si>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</si>
  <si>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</si>
  <si>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</si>
  <si>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</si>
  <si>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</si>
  <si>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</si>
  <si>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</si>
  <si>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</si>
  <si>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</si>
  <si>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</si>
  <si>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</si>
  <si>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</si>
  <si>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</si>
  <si>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</si>
  <si>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</si>
  <si>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</si>
  <si>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</si>
  <si>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</si>
  <si>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</si>
  <si>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</si>
  <si>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</si>
  <si>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</si>
  <si>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</si>
  <si>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</si>
  <si>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</si>
  <si>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</si>
  <si>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</si>
  <si>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</si>
  <si>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</si>
  <si>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</si>
  <si>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</si>
  <si>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</si>
  <si>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</si>
  <si>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</si>
  <si>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</si>
  <si>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</si>
  <si>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</si>
  <si>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</si>
  <si>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</si>
  <si>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</si>
  <si>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</si>
  <si>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</si>
  <si>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</si>
  <si>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</si>
  <si>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</si>
  <si>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</si>
  <si>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</si>
  <si>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</si>
  <si>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</si>
  <si>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</si>
  <si>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</si>
  <si>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</si>
  <si>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</si>
  <si>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</si>
  <si>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</si>
  <si>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</si>
  <si>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</si>
  <si>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</si>
  <si>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</si>
  <si>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</si>
  <si>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</si>
  <si>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</si>
  <si>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</si>
  <si>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</si>
  <si>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</si>
  <si>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</si>
  <si>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</si>
  <si>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</si>
  <si>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</si>
  <si>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</si>
  <si>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</si>
  <si>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</si>
  <si>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</si>
  <si>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</si>
  <si>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</si>
  <si>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</si>
  <si>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</si>
  <si>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</si>
  <si>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</si>
  <si>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</si>
  <si>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</si>
  <si>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</si>
  <si>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</si>
  <si>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</si>
  <si>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</si>
  <si>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</si>
  <si>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</si>
  <si>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</si>
  <si>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</si>
  <si>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</si>
  <si>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</si>
  <si>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</si>
  <si>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</si>
  <si>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</si>
  <si>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</si>
  <si>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</si>
  <si>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</si>
  <si>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</si>
  <si>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</si>
  <si>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</si>
  <si>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</si>
  <si>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</si>
  <si>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</si>
  <si>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</si>
  <si>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</si>
  <si>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</si>
  <si>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</si>
  <si>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</si>
  <si>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</si>
  <si>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</si>
  <si>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</si>
  <si>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</si>
  <si>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</si>
  <si>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</si>
  <si>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</si>
  <si>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</si>
  <si>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</si>
  <si>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</si>
  <si>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</si>
  <si>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</si>
  <si>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</si>
  <si>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</si>
  <si>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</si>
  <si>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</si>
  <si>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</si>
  <si>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</si>
  <si>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</si>
  <si>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</si>
  <si>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</si>
  <si>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</si>
  <si>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</si>
  <si>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</si>
  <si>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</si>
  <si>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</si>
  <si>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</si>
  <si>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</si>
  <si>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</si>
  <si>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</si>
  <si>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</si>
  <si>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</si>
  <si>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</si>
  <si>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</si>
  <si>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</si>
  <si>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</si>
  <si>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</si>
  <si>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</si>
  <si>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</si>
  <si>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</si>
  <si>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</si>
  <si>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</si>
  <si>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</si>
  <si>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</si>
  <si>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</si>
  <si>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</si>
  <si>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</si>
  <si>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</si>
  <si>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</si>
  <si>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</si>
  <si>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</si>
  <si>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</si>
  <si>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</si>
  <si>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</si>
  <si>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</si>
  <si>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</si>
  <si>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</si>
  <si>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</si>
  <si>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</si>
  <si>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</si>
  <si>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</si>
  <si>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</si>
  <si>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</si>
  <si>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</si>
  <si>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</si>
  <si>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</si>
  <si>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</si>
  <si>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</si>
  <si>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</si>
  <si>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</si>
  <si>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</si>
  <si>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</si>
  <si>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</si>
  <si>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</si>
  <si>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</si>
  <si>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</si>
  <si>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</si>
  <si>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</si>
  <si>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</si>
  <si>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</si>
  <si>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</si>
  <si>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</si>
  <si>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</si>
  <si>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</si>
  <si>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</si>
  <si>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</si>
  <si>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</si>
  <si>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</si>
  <si>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</si>
  <si>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</si>
  <si>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</si>
  <si>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</si>
  <si>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</si>
  <si>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</si>
  <si>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</si>
  <si>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</si>
  <si>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</si>
  <si>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</si>
  <si>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</si>
  <si>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</si>
  <si>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</si>
  <si>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</si>
  <si>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</si>
  <si>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</si>
  <si>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</si>
  <si>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</si>
  <si>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</si>
  <si>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</si>
  <si>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</si>
  <si>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</si>
  <si>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</si>
  <si>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</si>
  <si>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</si>
  <si>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</si>
  <si>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</si>
  <si>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</si>
  <si>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</si>
  <si>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</si>
  <si>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</si>
  <si>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</si>
  <si>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</si>
  <si>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</si>
  <si>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</si>
  <si>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</si>
  <si>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</si>
  <si>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</si>
  <si>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</si>
  <si>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</si>
  <si>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</si>
  <si>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</si>
  <si>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</si>
  <si>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</si>
  <si>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</si>
  <si>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</si>
  <si>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</si>
  <si>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</si>
  <si>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</si>
  <si>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</si>
  <si>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</si>
  <si>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</si>
  <si>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</si>
  <si>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</si>
  <si>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</si>
  <si>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</si>
  <si>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</si>
  <si>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</si>
  <si>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</si>
  <si>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</si>
  <si>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</si>
  <si>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</si>
  <si>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</si>
  <si>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</si>
  <si>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</si>
  <si>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</si>
  <si>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</si>
  <si>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</si>
  <si>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</si>
  <si>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</si>
  <si>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</si>
  <si>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</si>
  <si>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</si>
  <si>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</si>
  <si>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</si>
  <si>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</si>
  <si>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</si>
  <si>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</si>
  <si>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</si>
  <si>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</si>
  <si>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</si>
  <si>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</si>
  <si>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</si>
  <si>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</si>
  <si>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</si>
  <si>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</si>
  <si>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</si>
  <si>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</si>
  <si>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</si>
  <si>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</si>
  <si>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</si>
  <si>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</si>
  <si>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</si>
  <si>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</si>
  <si>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</si>
  <si>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</si>
  <si>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</si>
  <si>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</si>
  <si>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</si>
  <si>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</si>
  <si>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</si>
  <si>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</si>
  <si>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</si>
  <si>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</si>
  <si>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</si>
  <si>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</si>
  <si>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</si>
  <si>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</si>
  <si>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</si>
  <si>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</si>
  <si>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</si>
  <si>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</si>
  <si>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</si>
  <si>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</si>
  <si>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</si>
  <si>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</si>
  <si>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</si>
  <si>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</si>
  <si>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</si>
  <si>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</si>
  <si>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</si>
  <si>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</si>
  <si>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</si>
  <si>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</si>
  <si>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</si>
  <si>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</si>
  <si>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</si>
  <si>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</si>
  <si>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</si>
  <si>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</si>
  <si>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</si>
  <si>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</si>
  <si>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</si>
  <si>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</si>
  <si>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</si>
  <si>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</si>
  <si>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</si>
  <si>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</si>
  <si>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</si>
  <si>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</si>
  <si>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</si>
  <si>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</si>
  <si>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</si>
  <si>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</si>
  <si>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</si>
  <si>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</si>
  <si>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</si>
  <si>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</si>
  <si>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</si>
  <si>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</si>
  <si>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</si>
  <si>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</si>
  <si>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</si>
  <si>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</si>
  <si>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</si>
  <si>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</si>
  <si>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</si>
  <si>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</si>
  <si>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</si>
  <si>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</si>
  <si>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</si>
  <si>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</si>
  <si>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</si>
  <si>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</si>
  <si>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</si>
  <si>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</si>
  <si>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</si>
  <si>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</si>
  <si>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</si>
  <si>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</si>
  <si>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</si>
  <si>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</si>
  <si>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</si>
  <si>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</si>
  <si>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</si>
  <si>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</si>
  <si>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</si>
  <si>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</si>
  <si>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</si>
  <si>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</si>
  <si>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</si>
  <si>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</si>
  <si>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</si>
  <si>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</si>
  <si>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</si>
  <si>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</si>
  <si>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</si>
  <si>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</si>
  <si>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</si>
  <si>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</si>
  <si>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</si>
  <si>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</si>
  <si>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</si>
  <si>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</si>
  <si>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</si>
  <si>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</si>
  <si>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</si>
  <si>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</si>
  <si>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</si>
  <si>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</si>
  <si>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</si>
  <si>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</si>
  <si>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</si>
  <si>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</si>
  <si>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</si>
  <si>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</si>
  <si>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</si>
  <si>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</si>
  <si>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</si>
  <si>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</si>
  <si>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</si>
  <si>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</si>
  <si>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</si>
  <si>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</si>
  <si>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</si>
  <si>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</si>
  <si>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</si>
  <si>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</si>
  <si>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</si>
  <si>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</si>
  <si>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</si>
  <si>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</si>
  <si>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</si>
  <si>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</si>
  <si>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</si>
  <si>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</si>
  <si>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</si>
  <si>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</si>
  <si>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</si>
  <si>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</si>
  <si>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</si>
  <si>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</si>
  <si>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</si>
  <si>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</si>
  <si>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</si>
  <si>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</si>
  <si>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</si>
  <si>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</si>
  <si>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</si>
  <si>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</si>
  <si>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</si>
  <si>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</si>
  <si>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</si>
  <si>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</si>
  <si>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</si>
  <si>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</si>
  <si>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</si>
  <si>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</si>
  <si>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</si>
  <si>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</si>
  <si>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</si>
  <si>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</si>
  <si>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</si>
  <si>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</si>
  <si>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</si>
  <si>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</si>
  <si>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</si>
  <si>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</si>
  <si>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</si>
  <si>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</si>
  <si>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</si>
  <si>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</si>
  <si>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</si>
  <si>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</si>
  <si>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</si>
  <si>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</si>
  <si>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</si>
  <si>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</si>
  <si>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</si>
  <si>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</si>
  <si>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</si>
  <si>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</si>
  <si>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</si>
  <si>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</si>
  <si>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</si>
  <si>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</si>
  <si>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</si>
  <si>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</si>
  <si>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</si>
  <si>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</si>
  <si>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</si>
  <si>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</si>
  <si>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</si>
  <si>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</si>
  <si>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</si>
  <si>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</si>
  <si>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</si>
  <si>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</si>
  <si>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</si>
  <si>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</si>
  <si>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</si>
  <si>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</si>
  <si>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</si>
  <si>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</si>
  <si>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</si>
  <si>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</si>
  <si>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</si>
  <si>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</si>
  <si>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</si>
  <si>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</si>
  <si>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</si>
  <si>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</si>
  <si>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</si>
  <si>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</si>
  <si>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</si>
  <si>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</si>
  <si>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</si>
  <si>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</si>
  <si>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</si>
  <si>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</si>
  <si>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</si>
  <si>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</si>
  <si>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</si>
  <si>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</si>
  <si>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</si>
  <si>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</si>
  <si>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</si>
  <si>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</si>
  <si>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</si>
  <si>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</si>
  <si>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</si>
  <si>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</si>
  <si>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</si>
  <si>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</si>
  <si>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</si>
  <si>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</si>
  <si>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</si>
  <si>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</si>
  <si>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</si>
  <si>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</si>
  <si>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</si>
  <si>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</si>
  <si>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</si>
  <si>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</si>
  <si>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</si>
  <si>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</si>
  <si>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</si>
  <si>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</si>
  <si>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</si>
  <si>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</si>
  <si>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</si>
  <si>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</si>
  <si>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</si>
  <si>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</si>
  <si>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</si>
  <si>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</si>
  <si>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</si>
  <si>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</si>
  <si>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</si>
  <si>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</si>
  <si>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</si>
  <si>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</si>
  <si>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</si>
  <si>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</si>
  <si>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</si>
  <si>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</si>
  <si>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</si>
  <si>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</si>
  <si>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</si>
  <si>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</si>
  <si>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</si>
  <si>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</si>
  <si>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</si>
  <si>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</si>
  <si>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</si>
  <si>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</si>
  <si>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</si>
  <si>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</si>
  <si>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</si>
  <si>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</si>
  <si>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</si>
  <si>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</si>
  <si>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</si>
  <si>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</si>
  <si>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</si>
  <si>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</si>
  <si>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</si>
  <si>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</si>
  <si>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</si>
  <si>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</si>
  <si>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</si>
  <si>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</si>
  <si>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</si>
  <si>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</si>
  <si>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</si>
  <si>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</si>
  <si>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</si>
  <si>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</si>
  <si>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</si>
  <si>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</si>
  <si>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</si>
  <si>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</si>
  <si>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</si>
  <si>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</si>
  <si>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</si>
  <si>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</si>
  <si>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</si>
  <si>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</si>
  <si>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</si>
  <si>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</si>
  <si>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</si>
  <si>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</si>
  <si>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</si>
  <si>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</si>
  <si>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</si>
  <si>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</si>
  <si>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</si>
  <si>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</si>
  <si>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</si>
  <si>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</si>
  <si>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</si>
  <si>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</si>
  <si>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</si>
  <si>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</si>
  <si>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</si>
  <si>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</si>
  <si>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</si>
  <si>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</si>
  <si>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</si>
  <si>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</si>
  <si>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</si>
  <si>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</si>
  <si>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</si>
  <si>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</si>
  <si>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</si>
  <si>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</si>
  <si>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</si>
  <si>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</si>
  <si>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</si>
  <si>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</si>
  <si>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</si>
  <si>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</si>
  <si>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</si>
  <si>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</si>
  <si>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</si>
  <si>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</si>
  <si>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</si>
  <si>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</si>
  <si>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</si>
  <si>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</si>
  <si>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</si>
  <si>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</si>
  <si>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</si>
  <si>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</si>
  <si>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</si>
  <si>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</si>
  <si>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</si>
  <si>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</si>
  <si>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</si>
  <si>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</si>
  <si>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</si>
  <si>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</si>
  <si>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</si>
  <si>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</si>
  <si>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</si>
  <si>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</si>
  <si>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</si>
  <si>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</si>
  <si>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</si>
  <si>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</si>
  <si>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</si>
  <si>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</si>
  <si>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</si>
  <si>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</si>
  <si>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</si>
  <si>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</si>
  <si>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</si>
  <si>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</si>
  <si>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</si>
  <si>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</si>
  <si>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</si>
  <si>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</si>
  <si>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</si>
  <si>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</si>
  <si>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</si>
  <si>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</si>
  <si>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</si>
  <si>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</si>
  <si>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</si>
  <si>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</si>
  <si>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</si>
  <si>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</si>
  <si>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</si>
  <si>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</si>
  <si>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</si>
  <si>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</si>
  <si>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</si>
  <si>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</si>
  <si>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</si>
  <si>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</si>
  <si>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</si>
  <si>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</si>
  <si>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</si>
  <si>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</si>
  <si>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</si>
  <si>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</si>
  <si>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</si>
  <si>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</si>
  <si>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</si>
  <si>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</si>
  <si>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</si>
  <si>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</si>
  <si>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</si>
  <si>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</si>
  <si>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</si>
  <si>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</si>
  <si>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</si>
  <si>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</si>
  <si>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</si>
  <si>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</si>
  <si>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</si>
  <si>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</si>
  <si>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</si>
  <si>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</si>
  <si>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</si>
  <si>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</si>
  <si>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</si>
  <si>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</si>
  <si>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</si>
  <si>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</si>
  <si>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</si>
  <si>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</si>
  <si>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</si>
  <si>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</si>
  <si>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</si>
  <si>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</si>
  <si>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</si>
  <si>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</si>
  <si>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</si>
  <si>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</si>
  <si>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</si>
  <si>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</si>
  <si>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</si>
  <si>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</si>
  <si>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</si>
  <si>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</si>
  <si>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</si>
  <si>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</si>
  <si>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</si>
  <si>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</si>
  <si>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</si>
  <si>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</si>
  <si>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</si>
  <si>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</si>
  <si>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</si>
  <si>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</si>
  <si>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</si>
  <si>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</si>
  <si>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</si>
  <si>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</si>
  <si>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</si>
  <si>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</si>
  <si>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</si>
  <si>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</si>
  <si>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</si>
  <si>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</si>
  <si>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</si>
  <si>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</si>
  <si>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</si>
  <si>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</si>
  <si>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</si>
  <si>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</si>
  <si>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</si>
  <si>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</si>
  <si>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</si>
  <si>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</si>
  <si>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</si>
  <si>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</si>
  <si>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</si>
  <si>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</si>
  <si>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</si>
  <si>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</si>
  <si>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</si>
  <si>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</si>
  <si>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</si>
  <si>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</si>
  <si>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</si>
  <si>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</si>
  <si>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</si>
  <si>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</si>
  <si>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</si>
  <si>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</si>
  <si>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</si>
  <si>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</si>
  <si>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</si>
  <si>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</si>
  <si>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</si>
  <si>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</si>
  <si>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</si>
  <si>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</si>
  <si>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</si>
  <si>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</si>
  <si>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</si>
  <si>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</si>
  <si>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</si>
  <si>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</si>
  <si>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</si>
  <si>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</si>
  <si>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</si>
  <si>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</si>
  <si>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</si>
  <si>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</si>
  <si>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</si>
  <si>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</si>
  <si>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</si>
  <si>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</si>
  <si>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</si>
  <si>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</si>
  <si>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</si>
  <si>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</si>
  <si>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</si>
  <si>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</si>
  <si>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</si>
  <si>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</si>
  <si>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</si>
  <si>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</si>
  <si>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</si>
  <si>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</si>
  <si>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</si>
  <si>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</si>
  <si>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</si>
  <si>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</si>
  <si>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</si>
  <si>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</si>
  <si>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</si>
  <si>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</si>
  <si>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</si>
  <si>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</si>
  <si>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</si>
  <si>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</si>
  <si>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</si>
  <si>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</si>
  <si>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</si>
  <si>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</si>
  <si>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</si>
  <si>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</si>
  <si>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</si>
  <si>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</si>
  <si>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</si>
  <si>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</si>
  <si>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</si>
  <si>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</si>
  <si>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</si>
  <si>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</si>
  <si>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</si>
  <si>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</si>
  <si>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</si>
  <si>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</si>
  <si>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</si>
  <si>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</si>
  <si>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</si>
  <si>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</si>
  <si>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</si>
  <si>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</si>
  <si>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</si>
  <si>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</si>
  <si>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</si>
  <si>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</si>
  <si>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</si>
  <si>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</si>
  <si>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</si>
  <si>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</si>
  <si>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</si>
  <si>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</si>
  <si>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</si>
  <si>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</si>
  <si>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</si>
  <si>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</si>
  <si>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</si>
  <si>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</si>
  <si>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</si>
  <si>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</si>
  <si>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</si>
  <si>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</si>
  <si>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</si>
  <si>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</si>
  <si>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</si>
  <si>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</si>
  <si>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</si>
  <si>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</si>
  <si>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</si>
  <si>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</si>
  <si>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</si>
  <si>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</si>
  <si>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</si>
  <si>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</si>
  <si>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</si>
  <si>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</si>
  <si>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</si>
  <si>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</si>
  <si>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</si>
  <si>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</si>
  <si>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</si>
  <si>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</si>
  <si>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</si>
  <si>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</si>
  <si>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</si>
  <si>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</si>
  <si>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</si>
  <si>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</si>
  <si>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</si>
  <si>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</si>
  <si>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</si>
  <si>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</si>
  <si>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</si>
  <si>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</si>
  <si>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</si>
  <si>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</si>
  <si>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</si>
  <si>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</si>
  <si>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</si>
  <si>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</si>
  <si>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</si>
  <si>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</si>
  <si>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</si>
  <si>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</si>
  <si>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</si>
  <si>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</si>
  <si>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</si>
  <si>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</si>
  <si>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</si>
  <si>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</si>
  <si>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</si>
  <si>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</si>
  <si>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</si>
  <si>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</si>
  <si>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</si>
  <si>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</si>
  <si>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</si>
  <si>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</si>
  <si>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</si>
  <si>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</si>
  <si>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</si>
  <si>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</si>
  <si>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</si>
  <si>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</si>
  <si>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</si>
  <si>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</si>
  <si>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</si>
  <si>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</si>
  <si>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</si>
  <si>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</si>
  <si>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</si>
  <si>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</si>
  <si>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</si>
  <si>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</si>
  <si>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</si>
  <si>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</si>
  <si>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</si>
  <si>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</si>
  <si>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</si>
  <si>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</si>
  <si>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</si>
  <si>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</si>
  <si>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</si>
  <si>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</si>
  <si>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</si>
  <si>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</si>
  <si>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</si>
  <si>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</si>
  <si>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</si>
  <si>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</si>
  <si>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</si>
  <si>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</si>
  <si>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</si>
  <si>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</si>
  <si>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</si>
  <si>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</si>
  <si>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</si>
  <si>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</si>
  <si>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</si>
  <si>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</si>
  <si>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</si>
  <si>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</si>
  <si>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</si>
  <si>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</si>
  <si>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</si>
  <si>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</si>
  <si>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</si>
  <si>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</si>
  <si>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</si>
  <si>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</si>
  <si>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</si>
  <si>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</si>
  <si>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</si>
  <si>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</si>
  <si>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</si>
  <si>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</si>
  <si>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</si>
  <si>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</si>
  <si>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</si>
  <si>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</si>
  <si>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</si>
  <si>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</si>
  <si>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</si>
  <si>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</si>
  <si>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</si>
  <si>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</si>
  <si>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</si>
  <si>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</si>
  <si>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</si>
  <si>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</si>
  <si>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</si>
  <si>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</si>
  <si>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</si>
  <si>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</si>
  <si>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</si>
  <si>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</si>
  <si>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</si>
  <si>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</si>
  <si>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</si>
  <si>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</si>
  <si>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</si>
  <si>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</si>
  <si>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</si>
  <si>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</si>
  <si>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</si>
  <si>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</si>
  <si>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</si>
  <si>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</si>
  <si>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</si>
  <si>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</si>
  <si>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</si>
  <si>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</si>
  <si>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</si>
  <si>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</si>
  <si>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</si>
  <si>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</si>
  <si>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</si>
  <si>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</si>
  <si>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</si>
  <si>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</si>
  <si>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</si>
  <si>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</si>
  <si>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</si>
  <si>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</si>
  <si>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</si>
  <si>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</si>
  <si>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</si>
  <si>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</si>
  <si>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</si>
  <si>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</si>
  <si>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</si>
  <si>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</si>
  <si>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</si>
  <si>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</si>
  <si>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</si>
  <si>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</si>
  <si>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</si>
  <si>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</si>
  <si>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</si>
  <si>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</si>
  <si>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</si>
  <si>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</si>
  <si>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</si>
  <si>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</si>
  <si>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</si>
  <si>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</si>
  <si>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</si>
  <si>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</si>
  <si>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</si>
  <si>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</si>
  <si>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</si>
  <si>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</si>
  <si>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</si>
  <si>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</si>
  <si>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</si>
  <si>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</si>
  <si>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</si>
  <si>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</si>
  <si>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</si>
  <si>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</si>
  <si>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</si>
  <si>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</si>
  <si>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</si>
  <si>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</si>
  <si>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</si>
  <si>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</si>
  <si>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</si>
  <si>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</si>
  <si>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</si>
  <si>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</si>
  <si>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</si>
  <si>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</si>
  <si>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</si>
  <si>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</si>
  <si>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</si>
  <si>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</si>
  <si>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</si>
  <si>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</si>
  <si>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</si>
  <si>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</si>
  <si>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</si>
  <si>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</si>
  <si>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</si>
  <si>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</si>
  <si>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</si>
  <si>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</si>
  <si>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</si>
  <si>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</si>
  <si>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</si>
  <si>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</si>
  <si>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</si>
  <si>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</si>
  <si>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</si>
  <si>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</si>
  <si>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</si>
  <si>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</si>
  <si>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</si>
  <si>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</si>
  <si>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</si>
  <si>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</si>
  <si>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</si>
  <si>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</si>
  <si>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</si>
  <si>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</si>
  <si>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</si>
  <si>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</si>
  <si>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</si>
  <si>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</si>
  <si>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</si>
  <si>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</si>
  <si>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</si>
  <si>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</si>
  <si>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</si>
  <si>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</si>
  <si>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</si>
  <si>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</si>
  <si>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</si>
  <si>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</si>
  <si>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</si>
  <si>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</si>
  <si>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</si>
  <si>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</si>
  <si>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</si>
  <si>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</si>
  <si>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</si>
  <si>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</si>
  <si>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</si>
  <si>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</si>
  <si>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</si>
  <si>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</si>
  <si>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</si>
  <si>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</si>
  <si>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</si>
  <si>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</si>
  <si>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</si>
  <si>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</si>
  <si>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</si>
  <si>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</si>
  <si>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</si>
  <si>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</si>
  <si>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</si>
  <si>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</si>
  <si>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</si>
  <si>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</si>
  <si>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</si>
  <si>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</si>
  <si>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</si>
  <si>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</si>
  <si>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</si>
  <si>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</si>
  <si>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</si>
  <si>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</si>
  <si>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</si>
  <si>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</si>
  <si>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</si>
  <si>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</si>
  <si>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</si>
  <si>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</si>
  <si>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</si>
  <si>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</si>
  <si>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</si>
  <si>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</si>
  <si>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</si>
  <si>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</si>
  <si>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</si>
  <si>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</si>
  <si>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</si>
  <si>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</si>
  <si>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</si>
  <si>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</si>
  <si>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</si>
  <si>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</si>
  <si>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</si>
  <si>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</si>
  <si>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</si>
  <si>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</si>
  <si>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</si>
  <si>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</si>
  <si>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</si>
  <si>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</si>
  <si>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</si>
  <si>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</si>
  <si>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</si>
  <si>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</si>
  <si>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</si>
  <si>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</si>
  <si>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</si>
  <si>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</si>
  <si>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</si>
  <si>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</si>
  <si>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</si>
  <si>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</si>
  <si>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</si>
  <si>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</si>
  <si>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</si>
  <si>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</si>
  <si>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</si>
  <si>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</si>
  <si>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</si>
  <si>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</si>
  <si>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</si>
  <si>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</si>
  <si>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</si>
  <si>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</si>
  <si>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</si>
  <si>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</si>
  <si>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</si>
  <si>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</si>
  <si>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</si>
  <si>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</si>
  <si>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</si>
  <si>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</si>
  <si>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</si>
  <si>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</si>
  <si>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</si>
  <si>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</si>
  <si>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</si>
  <si>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</si>
  <si>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</si>
  <si>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</si>
  <si>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</si>
  <si>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</si>
  <si>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</si>
  <si>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</si>
  <si>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</si>
  <si>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</si>
  <si>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</si>
  <si>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</si>
  <si>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</si>
  <si>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</si>
  <si>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</si>
  <si>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</si>
  <si>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</si>
  <si>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</si>
  <si>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</si>
  <si>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</si>
  <si>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</si>
  <si>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</si>
  <si>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</si>
  <si>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</si>
  <si>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</si>
  <si>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</si>
  <si>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</si>
  <si>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</si>
  <si>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</si>
  <si>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</si>
  <si>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</si>
  <si>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</si>
  <si>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</si>
  <si>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</si>
  <si>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</si>
  <si>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</si>
  <si>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</si>
  <si>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</si>
  <si>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</si>
  <si>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</si>
  <si>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</si>
  <si>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</si>
  <si>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</si>
  <si>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</si>
  <si>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</si>
  <si>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</si>
  <si>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</si>
  <si>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</si>
  <si>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</si>
  <si>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</si>
  <si>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</si>
  <si>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</si>
  <si>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</si>
  <si>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</si>
  <si>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</si>
  <si>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</si>
  <si>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</si>
  <si>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</si>
  <si>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</si>
  <si>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</si>
  <si>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</si>
  <si>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</si>
  <si>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</si>
  <si>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</si>
  <si>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</si>
  <si>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</si>
  <si>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</si>
  <si>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</si>
  <si>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</si>
  <si>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</si>
  <si>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</si>
  <si>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</si>
  <si>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</si>
  <si>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</si>
  <si>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</si>
  <si>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</si>
  <si>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</si>
  <si>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</si>
  <si>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</si>
  <si>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</si>
  <si>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</si>
  <si>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</si>
  <si>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</si>
  <si>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</si>
  <si>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</si>
  <si>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</si>
  <si>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</si>
  <si>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</si>
  <si>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</si>
  <si>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</si>
  <si>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</si>
  <si>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</si>
  <si>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</si>
  <si>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</si>
  <si>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</si>
  <si>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</si>
  <si>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</si>
  <si>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</si>
  <si>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</si>
  <si>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</si>
  <si>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</si>
  <si>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</si>
  <si>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</si>
  <si>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</si>
  <si>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</si>
  <si>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</si>
  <si>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</si>
  <si>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</si>
  <si>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</si>
  <si>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</si>
  <si>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</si>
  <si>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</si>
  <si>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</si>
  <si>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</si>
  <si>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</si>
  <si>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</si>
  <si>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</si>
  <si>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</si>
  <si>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</si>
  <si>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</si>
  <si>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</si>
  <si>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</si>
  <si>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</si>
  <si>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</si>
  <si>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</si>
  <si>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</si>
  <si>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</si>
  <si>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</si>
  <si>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</si>
  <si>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</si>
  <si>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</si>
  <si>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</si>
  <si>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</si>
  <si>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</si>
  <si>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</si>
  <si>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</si>
  <si>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</si>
  <si>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</si>
  <si>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</si>
  <si>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</si>
  <si>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</si>
  <si>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</si>
  <si>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</si>
  <si>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</si>
  <si>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</si>
  <si>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</si>
  <si>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</si>
  <si>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</si>
  <si>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</si>
  <si>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</si>
  <si>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</si>
  <si>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</si>
  <si>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</si>
  <si>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</si>
  <si>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</si>
  <si>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</si>
  <si>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</si>
  <si>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</si>
  <si>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</si>
  <si>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</si>
  <si>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</si>
  <si>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</si>
  <si>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</si>
  <si>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</si>
  <si>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</si>
  <si>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</si>
  <si>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</si>
  <si>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</si>
  <si>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</si>
  <si>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</si>
  <si>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</si>
  <si>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</si>
  <si>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</si>
  <si>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</si>
  <si>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</si>
  <si>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</si>
  <si>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</si>
  <si>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</si>
  <si>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</si>
  <si>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</si>
  <si>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</si>
  <si>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</si>
  <si>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</si>
  <si>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</si>
  <si>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</si>
  <si>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</si>
  <si>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</si>
  <si>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</si>
  <si>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</si>
  <si>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</si>
  <si>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</si>
  <si>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</si>
  <si>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</si>
  <si>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</si>
  <si>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</si>
  <si>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</si>
  <si>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</si>
  <si>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</si>
  <si>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</si>
  <si>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</si>
  <si>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</si>
  <si>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</si>
  <si>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</si>
  <si>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</si>
  <si>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</si>
  <si>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</si>
  <si>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</si>
  <si>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</si>
  <si>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</si>
  <si>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</si>
  <si>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</si>
  <si>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</si>
  <si>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</si>
  <si>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</si>
  <si>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</si>
  <si>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</si>
  <si>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</si>
  <si>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</si>
  <si>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</si>
  <si>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</si>
  <si>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</si>
  <si>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</si>
  <si>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</si>
  <si>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</si>
  <si>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</si>
  <si>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</si>
  <si>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</si>
  <si>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</si>
  <si>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</si>
  <si>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</si>
  <si>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</si>
  <si>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</si>
  <si>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</si>
  <si>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</si>
  <si>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</si>
  <si>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</si>
  <si>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</si>
  <si>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</si>
  <si>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</si>
  <si>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</si>
  <si>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</si>
  <si>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</si>
  <si>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</si>
  <si>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</si>
  <si>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</si>
  <si>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</si>
  <si>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</si>
  <si>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</si>
  <si>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</si>
  <si>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</si>
  <si>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</si>
  <si>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</si>
  <si>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</si>
  <si>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</si>
  <si>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</si>
  <si>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</si>
  <si>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</si>
  <si>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</si>
  <si>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</si>
  <si>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</si>
  <si>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</si>
  <si>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</si>
  <si>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</si>
  <si>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</si>
  <si>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</si>
  <si>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</si>
  <si>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</si>
  <si>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</si>
  <si>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</si>
  <si>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</si>
  <si>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</si>
  <si>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</si>
  <si>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</si>
  <si>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</si>
  <si>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</si>
  <si>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</si>
  <si>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</si>
  <si>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</si>
  <si>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</si>
  <si>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</si>
  <si>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</si>
  <si>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</si>
  <si>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</si>
  <si>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</si>
  <si>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</si>
  <si>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</si>
  <si>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</si>
  <si>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</si>
  <si>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</si>
  <si>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</si>
  <si>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</si>
  <si>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</si>
  <si>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</si>
  <si>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</si>
  <si>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</si>
  <si>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</si>
  <si>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</si>
  <si>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</si>
  <si>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</si>
  <si>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</si>
  <si>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</si>
  <si>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</si>
  <si>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</si>
  <si>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</si>
  <si>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</si>
  <si>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</si>
  <si>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</si>
  <si>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</si>
  <si>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</si>
  <si>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</si>
  <si>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</si>
  <si>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</si>
  <si>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</si>
  <si>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</si>
  <si>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</si>
  <si>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</si>
  <si>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</si>
  <si>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</si>
  <si>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</si>
  <si>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</si>
  <si>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</si>
  <si>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</si>
  <si>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</si>
  <si>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</si>
  <si>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</si>
  <si>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</si>
  <si>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</si>
  <si>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</si>
  <si>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</si>
  <si>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</si>
  <si>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</si>
  <si>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</si>
  <si>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</si>
  <si>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</si>
  <si>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</si>
  <si>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</si>
  <si>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</si>
  <si>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</si>
  <si>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</si>
  <si>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</si>
  <si>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</si>
  <si>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</si>
  <si>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</si>
  <si>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</si>
  <si>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</si>
  <si>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</si>
  <si>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</si>
  <si>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</si>
  <si>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</si>
  <si>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</si>
  <si>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</si>
  <si>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</si>
  <si>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</si>
  <si>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</si>
  <si>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</si>
  <si>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</si>
  <si>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</si>
  <si>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</si>
  <si>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</si>
  <si>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</si>
  <si>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</si>
  <si>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</si>
  <si>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</si>
  <si>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</si>
  <si>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</si>
  <si>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</si>
  <si>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</si>
  <si>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</si>
  <si>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</si>
  <si>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</si>
  <si>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</si>
  <si>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</si>
  <si>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</si>
  <si>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</si>
  <si>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</si>
  <si>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</si>
  <si>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</si>
  <si>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</si>
  <si>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</si>
  <si>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</si>
  <si>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</si>
  <si>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</si>
  <si>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</si>
  <si>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</si>
  <si>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</si>
  <si>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</si>
  <si>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</si>
  <si>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</si>
  <si>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</si>
  <si>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</si>
  <si>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</si>
  <si>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</si>
  <si>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</si>
  <si>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</si>
  <si>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</si>
  <si>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</si>
  <si>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</si>
  <si>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</si>
  <si>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</si>
  <si>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</si>
  <si>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</si>
  <si>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</si>
  <si>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</si>
  <si>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</si>
  <si>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</si>
  <si>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</si>
  <si>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</si>
  <si>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</si>
  <si>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</si>
  <si>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</si>
  <si>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</si>
  <si>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</si>
  <si>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</si>
  <si>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</si>
  <si>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</si>
  <si>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</si>
  <si>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</si>
  <si>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</si>
  <si>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</si>
  <si>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</si>
  <si>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</si>
  <si>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</si>
  <si>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</si>
  <si>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</si>
  <si>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</si>
  <si>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</si>
  <si>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</si>
  <si>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</si>
  <si>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</si>
  <si>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</si>
  <si>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</si>
  <si>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</si>
  <si>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</si>
  <si>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</si>
  <si>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</si>
  <si>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</si>
  <si>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</si>
  <si>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</si>
  <si>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</si>
  <si>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</si>
  <si>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</si>
  <si>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</si>
  <si>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</si>
  <si>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</si>
  <si>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</si>
  <si>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</si>
  <si>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</si>
  <si>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</si>
  <si>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</si>
  <si>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</si>
  <si>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</si>
  <si>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</si>
  <si>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</si>
  <si>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</si>
  <si>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</si>
  <si>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</si>
  <si>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</si>
  <si>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</si>
  <si>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</si>
  <si>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</si>
  <si>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</si>
  <si>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</si>
  <si>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</si>
  <si>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</si>
  <si>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</si>
  <si>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</si>
  <si>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</si>
  <si>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</si>
  <si>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</si>
  <si>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</si>
  <si>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</si>
  <si>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</si>
  <si>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</si>
  <si>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</si>
  <si>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</si>
  <si>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</si>
  <si>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</si>
  <si>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</si>
  <si>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</si>
  <si>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</si>
  <si>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</si>
  <si>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</si>
  <si>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</si>
  <si>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</si>
  <si>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</si>
  <si>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</si>
  <si>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</si>
  <si>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</si>
  <si>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</si>
  <si>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</si>
  <si>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</si>
  <si>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</si>
  <si>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</si>
  <si>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</si>
  <si>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</si>
  <si>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</si>
  <si>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</si>
  <si>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</si>
  <si>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</si>
  <si>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</si>
  <si>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</si>
  <si>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</si>
  <si>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</si>
  <si>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</si>
  <si>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</si>
  <si>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</si>
  <si>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</si>
  <si>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</si>
  <si>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</si>
  <si>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</si>
  <si>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</si>
  <si>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</si>
  <si>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</si>
  <si>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</si>
  <si>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</si>
  <si>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</si>
  <si>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</si>
  <si>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</si>
  <si>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</si>
  <si>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</si>
  <si>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</si>
  <si>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</si>
  <si>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</si>
  <si>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</si>
  <si>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</si>
  <si>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</si>
  <si>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</si>
  <si>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</si>
  <si>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</si>
  <si>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</si>
  <si>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</si>
  <si>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</si>
  <si>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</si>
  <si>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</si>
  <si>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</si>
  <si>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</si>
  <si>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</si>
  <si>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</si>
  <si>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</si>
  <si>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</si>
  <si>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</si>
  <si>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</si>
  <si>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</si>
  <si>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</si>
  <si>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</si>
  <si>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</si>
  <si>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</si>
  <si>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</si>
  <si>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</si>
  <si>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</si>
  <si>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</si>
  <si>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</si>
  <si>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</si>
  <si>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</si>
  <si>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</si>
  <si>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</si>
  <si>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</si>
  <si>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</si>
  <si>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</si>
  <si>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</si>
  <si>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</si>
  <si>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</si>
  <si>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</si>
  <si>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</si>
  <si>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</si>
  <si>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</si>
  <si>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</si>
  <si>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</si>
  <si>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</si>
  <si>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</si>
  <si>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</si>
  <si>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</si>
  <si>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</si>
  <si>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</si>
  <si>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</si>
  <si>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</si>
  <si>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</si>
  <si>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</si>
  <si>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</si>
  <si>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</si>
  <si>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</si>
  <si>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</si>
  <si>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</si>
  <si>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</si>
  <si>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</si>
  <si>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</si>
  <si>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</si>
  <si>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</si>
  <si>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</si>
  <si>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</si>
  <si>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</si>
  <si>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</si>
  <si>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</si>
  <si>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</si>
  <si>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</si>
  <si>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</si>
  <si>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</si>
  <si>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</si>
  <si>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</si>
  <si>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</si>
  <si>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</si>
  <si>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</si>
  <si>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</si>
  <si>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</si>
  <si>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</si>
  <si>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</si>
  <si>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</si>
  <si>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</si>
  <si>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</si>
  <si>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</si>
  <si>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</si>
  <si>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</si>
  <si>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</si>
  <si>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</si>
  <si>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</si>
  <si>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</si>
  <si>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</si>
  <si>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</si>
  <si>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</si>
  <si>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</si>
  <si>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</si>
  <si>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</si>
  <si>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</si>
  <si>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</si>
  <si>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</si>
  <si>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</si>
  <si>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</si>
  <si>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</si>
  <si>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</si>
  <si>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</si>
  <si>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</si>
  <si>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</si>
  <si>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</si>
  <si>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</si>
  <si>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</si>
  <si>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</si>
  <si>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</si>
  <si>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</si>
  <si>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</si>
  <si>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</si>
  <si>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</si>
  <si>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</si>
  <si>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</si>
  <si>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</si>
  <si>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</si>
  <si>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</si>
  <si>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</si>
  <si>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</si>
  <si>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</si>
  <si>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</si>
  <si>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</si>
  <si>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</si>
  <si>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</si>
  <si>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</si>
  <si>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</si>
  <si>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</si>
  <si>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</si>
  <si>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</si>
  <si>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</si>
  <si>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</si>
  <si>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</si>
  <si>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</si>
  <si>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</si>
  <si>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</si>
  <si>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</si>
  <si>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</si>
  <si>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</si>
  <si>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</si>
  <si>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</si>
  <si>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</si>
  <si>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</si>
  <si>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</si>
  <si>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</si>
  <si>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</si>
  <si>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</si>
  <si>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</si>
  <si>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</si>
  <si>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</si>
  <si>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</si>
  <si>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</si>
  <si>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</si>
  <si>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</si>
  <si>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</si>
  <si>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</si>
  <si>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</si>
  <si>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</si>
  <si>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</si>
  <si>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</si>
  <si>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</si>
  <si>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</si>
  <si>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</si>
  <si>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</si>
  <si>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</si>
  <si>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</si>
  <si>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</si>
  <si>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</si>
  <si>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</si>
  <si>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</si>
  <si>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</si>
  <si>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</si>
  <si>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</si>
  <si>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</si>
  <si>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</si>
  <si>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</si>
  <si>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</si>
  <si>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</si>
  <si>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</si>
  <si>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</si>
  <si>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</si>
  <si>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</si>
  <si>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</si>
  <si>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</si>
  <si>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</si>
  <si>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</si>
  <si>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</si>
  <si>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</si>
  <si>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</si>
  <si>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</si>
  <si>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</si>
  <si>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</si>
  <si>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</si>
  <si>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</si>
  <si>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</si>
  <si>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</si>
  <si>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</si>
  <si>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</si>
  <si>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</si>
  <si>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</si>
  <si>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</si>
  <si>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</si>
  <si>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</si>
  <si>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</si>
  <si>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</si>
  <si>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</si>
  <si>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</si>
  <si>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</si>
  <si>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</si>
  <si>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</si>
  <si>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</si>
  <si>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</si>
  <si>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</si>
  <si>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</si>
  <si>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</si>
  <si>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</si>
  <si>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</si>
  <si>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</si>
  <si>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</si>
  <si>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</si>
  <si>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</si>
  <si>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</si>
  <si>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</si>
  <si>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</si>
  <si>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</si>
  <si>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</si>
  <si>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</si>
  <si>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</si>
  <si>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</si>
  <si>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</si>
  <si>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</si>
  <si>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</si>
  <si>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</si>
  <si>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</si>
  <si>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</si>
  <si>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</si>
  <si>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</si>
  <si>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</si>
  <si>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</si>
  <si>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</si>
  <si>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</si>
  <si>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</si>
  <si>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</si>
  <si>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</si>
  <si>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</si>
  <si>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</si>
  <si>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</si>
  <si>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</si>
  <si>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</si>
  <si>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</si>
  <si>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</si>
  <si>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</si>
  <si>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</si>
  <si>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</si>
  <si>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</si>
  <si>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</si>
  <si>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</si>
  <si>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</si>
  <si>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</si>
  <si>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</si>
  <si>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</si>
  <si>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</si>
  <si>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</si>
  <si>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</si>
  <si>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</si>
  <si>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</si>
  <si>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</si>
  <si>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</si>
  <si>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</si>
  <si>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</si>
  <si>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</si>
  <si>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</si>
  <si>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</si>
  <si>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</si>
  <si>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</si>
  <si>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</si>
  <si>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</si>
  <si>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</si>
  <si>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</si>
  <si>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</si>
  <si>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</si>
  <si>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</si>
  <si>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</si>
  <si>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</si>
  <si>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</si>
  <si>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</si>
  <si>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</si>
  <si>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</si>
  <si>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</si>
  <si>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</si>
  <si>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</si>
  <si>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</si>
  <si>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</si>
  <si>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</si>
  <si>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</si>
  <si>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</si>
  <si>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</si>
  <si>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</si>
  <si>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</si>
  <si>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</si>
  <si>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</si>
  <si>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</si>
  <si>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</si>
  <si>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</si>
  <si>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</si>
  <si>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</si>
  <si>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</si>
  <si>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</si>
  <si>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</si>
  <si>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</si>
  <si>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</si>
  <si>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</si>
  <si>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</si>
  <si>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</si>
  <si>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</si>
  <si>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</si>
  <si>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</si>
  <si>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</si>
  <si>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</si>
  <si>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</si>
  <si>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</si>
  <si>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</si>
  <si>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</si>
  <si>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</si>
  <si>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</si>
  <si>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</si>
  <si>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</si>
  <si>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</si>
  <si>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</si>
  <si>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</si>
  <si>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</si>
  <si>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</si>
  <si>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</si>
  <si>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</si>
  <si>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</si>
  <si>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</si>
  <si>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</si>
  <si>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</si>
  <si>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</si>
  <si>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</si>
  <si>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</si>
  <si>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</si>
  <si>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</si>
  <si>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</si>
  <si>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</si>
  <si>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</si>
  <si>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</si>
  <si>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</si>
  <si>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</si>
  <si>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</si>
  <si>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</si>
  <si>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</si>
  <si>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</si>
  <si>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</si>
  <si>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</si>
  <si>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</si>
  <si>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</si>
  <si>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</si>
  <si>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</si>
  <si>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</si>
  <si>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</si>
  <si>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</si>
  <si>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</si>
  <si>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</si>
  <si>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</si>
  <si>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</si>
  <si>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</si>
  <si>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</si>
  <si>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</si>
  <si>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</si>
  <si>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</si>
  <si>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</si>
  <si>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</si>
  <si>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</si>
  <si>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</si>
  <si>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</si>
  <si>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</si>
  <si>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</si>
  <si>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</si>
  <si>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</si>
  <si>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</si>
  <si>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</si>
  <si>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</si>
  <si>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</si>
  <si>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</si>
  <si>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</si>
  <si>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</si>
  <si>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</si>
  <si>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</si>
  <si>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</si>
  <si>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</si>
  <si>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</si>
  <si>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</si>
  <si>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</si>
  <si>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</si>
  <si>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</si>
  <si>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</si>
  <si>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</si>
  <si>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</si>
  <si>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</si>
  <si>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</si>
  <si>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</si>
  <si>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</si>
  <si>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</si>
  <si>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</si>
  <si>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</si>
  <si>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</si>
  <si>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</si>
  <si>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</si>
  <si>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</si>
  <si>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</si>
  <si>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</si>
  <si>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</si>
  <si>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</si>
  <si>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</si>
  <si>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</si>
  <si>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</si>
  <si>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</si>
  <si>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</si>
  <si>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</si>
  <si>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</si>
  <si>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</si>
  <si>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</si>
  <si>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</si>
  <si>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</si>
  <si>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</si>
  <si>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</si>
  <si>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</si>
  <si>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</si>
  <si>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</si>
  <si>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</si>
  <si>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</si>
  <si>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</si>
  <si>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</si>
  <si>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</si>
  <si>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</si>
  <si>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</si>
  <si>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</si>
  <si>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</si>
  <si>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</si>
  <si>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</si>
  <si>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</si>
  <si>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</si>
  <si>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</si>
  <si>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</si>
  <si>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</si>
  <si>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</si>
  <si>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</si>
  <si>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</si>
  <si>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</si>
  <si>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</si>
  <si>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</si>
  <si>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</si>
  <si>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</si>
  <si>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</si>
  <si>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</si>
  <si>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</si>
  <si>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</si>
  <si>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</si>
  <si>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</si>
  <si>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</si>
  <si>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</si>
  <si>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</si>
  <si>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</si>
  <si>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</si>
  <si>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</si>
  <si>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</si>
  <si>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</si>
  <si>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</si>
  <si>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</si>
  <si>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</si>
  <si>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</si>
  <si>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</si>
  <si>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</si>
  <si>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</si>
  <si>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</si>
  <si>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</si>
  <si>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</si>
  <si>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</si>
  <si>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</si>
  <si>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</si>
  <si>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</si>
  <si>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</si>
  <si>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</si>
  <si>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</si>
  <si>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</si>
  <si>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</si>
  <si>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</si>
  <si>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</si>
  <si>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</si>
  <si>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</si>
  <si>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</si>
  <si>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</si>
  <si>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</si>
  <si>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</si>
  <si>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</si>
  <si>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</si>
  <si>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</si>
  <si>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</si>
  <si>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</si>
  <si>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</si>
  <si>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</si>
  <si>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</si>
  <si>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</si>
  <si>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</si>
  <si>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</si>
  <si>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</si>
  <si>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</si>
  <si>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</si>
  <si>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</si>
  <si>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</si>
  <si>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</si>
  <si>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</si>
  <si>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</si>
  <si>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</si>
  <si>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</si>
  <si>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</si>
  <si>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</si>
  <si>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</si>
  <si>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</si>
  <si>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</si>
  <si>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</si>
  <si>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</si>
  <si>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</si>
  <si>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</si>
  <si>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</si>
  <si>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</si>
  <si>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</si>
  <si>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</si>
  <si>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</si>
  <si>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</si>
  <si>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</si>
  <si>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</si>
  <si>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</si>
  <si>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</si>
  <si>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</si>
  <si>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</si>
  <si>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</si>
  <si>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</si>
  <si>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</si>
  <si>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</si>
  <si>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</si>
  <si>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</si>
  <si>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</si>
  <si>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</si>
  <si>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</si>
  <si>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</si>
  <si>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</si>
  <si>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</si>
  <si>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</si>
  <si>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</si>
  <si>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</si>
  <si>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</si>
  <si>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</si>
  <si>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</si>
  <si>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</si>
  <si>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</si>
  <si>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</si>
  <si>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</si>
  <si>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</si>
  <si>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</si>
  <si>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</si>
  <si>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</si>
  <si>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</si>
  <si>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</si>
  <si>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</si>
  <si>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</si>
  <si>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</si>
  <si>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</si>
  <si>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</si>
  <si>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</si>
  <si>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</si>
  <si>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</si>
  <si>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</si>
  <si>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</si>
  <si>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</si>
  <si>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</si>
  <si>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</si>
  <si>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</si>
  <si>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</si>
  <si>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</si>
  <si>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</si>
  <si>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</si>
  <si>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</si>
  <si>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</si>
  <si>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</si>
  <si>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</si>
  <si>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</si>
  <si>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</si>
  <si>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</si>
  <si>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</si>
  <si>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</si>
  <si>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</si>
  <si>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</si>
  <si>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</si>
  <si>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</si>
  <si>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</si>
  <si>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</si>
  <si>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</si>
  <si>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</si>
  <si>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</si>
  <si>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</si>
  <si>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</si>
  <si>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</si>
  <si>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</si>
  <si>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</si>
  <si>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</si>
  <si>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</si>
  <si>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</si>
  <si>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</si>
  <si>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</si>
  <si>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</si>
  <si>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</si>
  <si>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</si>
  <si>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</si>
  <si>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</si>
  <si>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</si>
  <si>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</si>
  <si>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</si>
  <si>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</si>
  <si>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</si>
  <si>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</si>
  <si>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</si>
  <si>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</si>
  <si>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</si>
  <si>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</si>
  <si>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</si>
  <si>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</si>
  <si>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</si>
  <si>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</si>
  <si>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</si>
  <si>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</si>
  <si>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</si>
  <si>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</si>
  <si>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</si>
  <si>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</si>
  <si>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</si>
  <si>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</si>
  <si>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</si>
  <si>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</si>
  <si>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</si>
  <si>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</si>
  <si>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</si>
  <si>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</si>
  <si>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</si>
  <si>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</si>
  <si>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</si>
  <si>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</si>
  <si>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</si>
  <si>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</si>
  <si>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</si>
  <si>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</si>
  <si>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</si>
  <si>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</si>
  <si>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</si>
  <si>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</si>
  <si>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</si>
  <si>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</si>
  <si>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</si>
  <si>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</si>
  <si>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</si>
  <si>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</si>
  <si>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</si>
  <si>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</si>
  <si>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</si>
  <si>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</si>
  <si>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</si>
  <si>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</si>
  <si>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</si>
  <si>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</si>
  <si>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</si>
  <si>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</si>
  <si>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</si>
  <si>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</si>
  <si>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</si>
  <si>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</si>
  <si>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</si>
  <si>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</si>
  <si>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</si>
  <si>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</si>
  <si>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</si>
  <si>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</si>
  <si>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</si>
  <si>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</si>
  <si>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</si>
  <si>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</si>
  <si>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</si>
  <si>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</si>
  <si>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</si>
  <si>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</si>
  <si>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</si>
  <si>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</si>
  <si>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</si>
  <si>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</si>
  <si>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</si>
  <si>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</si>
  <si>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</si>
  <si>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</si>
  <si>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</si>
  <si>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</si>
  <si>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</si>
  <si>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</si>
  <si>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</si>
  <si>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</si>
  <si>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</si>
  <si>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</si>
  <si>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</si>
  <si>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</si>
  <si>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</si>
  <si>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</si>
  <si>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</si>
  <si>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</si>
  <si>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</si>
  <si>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</si>
  <si>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</si>
  <si>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</si>
  <si>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</si>
  <si>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</si>
  <si>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</si>
  <si>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</si>
  <si>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</si>
  <si>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</si>
  <si>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</si>
  <si>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</si>
  <si>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</si>
  <si>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</si>
  <si>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</si>
  <si>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</si>
  <si>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</si>
  <si>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</si>
  <si>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</si>
  <si>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</si>
  <si>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</si>
  <si>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</si>
  <si>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</si>
  <si>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</si>
  <si>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</si>
  <si>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</si>
  <si>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</si>
  <si>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</si>
  <si>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</si>
  <si>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</si>
  <si>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</si>
  <si>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</si>
  <si>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</si>
  <si>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</si>
  <si>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</si>
  <si>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</si>
  <si>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</si>
  <si>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</si>
  <si>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</si>
  <si>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</si>
  <si>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</si>
  <si>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</si>
  <si>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</si>
  <si>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</si>
  <si>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</si>
  <si>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</si>
  <si>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</si>
  <si>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</si>
  <si>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</si>
  <si>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</si>
  <si>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</si>
  <si>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</si>
  <si>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</si>
  <si>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</si>
  <si>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</si>
  <si>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</si>
  <si>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</si>
  <si>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</si>
  <si>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</si>
  <si>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</si>
  <si>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</si>
  <si>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</si>
  <si>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</si>
  <si>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</si>
  <si>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</si>
  <si>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</si>
  <si>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</si>
  <si>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</si>
  <si>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</si>
  <si>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</si>
  <si>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</si>
  <si>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</si>
  <si>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</si>
  <si>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</si>
  <si>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</si>
  <si>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</si>
  <si>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</si>
  <si>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</si>
  <si>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</si>
  <si>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</si>
  <si>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</si>
  <si>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</si>
  <si>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</si>
  <si>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</si>
  <si>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</si>
  <si>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</si>
  <si>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</si>
  <si>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</si>
  <si>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</si>
  <si>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</si>
  <si>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</si>
  <si>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</si>
  <si>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</si>
  <si>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</si>
  <si>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</si>
  <si>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</si>
  <si>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</si>
  <si>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</si>
  <si>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</si>
  <si>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</si>
  <si>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</si>
  <si>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</si>
  <si>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</si>
  <si>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</si>
  <si>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</si>
  <si>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</si>
  <si>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</si>
  <si>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</si>
  <si>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</si>
  <si>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</si>
  <si>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</si>
  <si>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</si>
  <si>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</si>
  <si>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</si>
  <si>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</si>
  <si>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</si>
  <si>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</si>
  <si>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</si>
  <si>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</si>
  <si>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</si>
  <si>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</si>
  <si>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</si>
  <si>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</si>
  <si>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</si>
  <si>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</si>
  <si>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</si>
  <si>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</si>
  <si>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</si>
  <si>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</si>
  <si>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</si>
  <si>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</si>
  <si>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</si>
  <si>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</si>
  <si>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</si>
  <si>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</si>
  <si>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</si>
  <si>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</si>
  <si>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</si>
  <si>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</si>
  <si>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</si>
  <si>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</si>
  <si>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</si>
  <si>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</si>
  <si>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</si>
  <si>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</si>
  <si>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</si>
  <si>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</si>
  <si>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</si>
  <si>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</si>
  <si>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</si>
  <si>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</si>
  <si>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</si>
  <si>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</si>
  <si>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</si>
  <si>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</si>
  <si>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</si>
  <si>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</si>
  <si>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</si>
  <si>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</si>
  <si>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</si>
  <si>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</si>
  <si>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</si>
  <si>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</si>
  <si>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</si>
  <si>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</si>
  <si>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</si>
  <si>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</si>
  <si>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</si>
  <si>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</si>
  <si>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</si>
  <si>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</si>
  <si>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</si>
  <si>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</si>
  <si>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</si>
  <si>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</si>
  <si>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</si>
  <si>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</si>
  <si>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</si>
  <si>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</si>
  <si>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</si>
  <si>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</si>
  <si>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</si>
  <si>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</si>
  <si>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</si>
  <si>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</si>
  <si>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</si>
  <si>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</si>
  <si>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</si>
  <si>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</si>
  <si>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</si>
  <si>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</si>
  <si>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</si>
  <si>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</si>
  <si>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</si>
  <si>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</si>
  <si>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</si>
  <si>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</si>
  <si>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</si>
  <si>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</si>
  <si>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</si>
  <si>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</si>
  <si>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</si>
  <si>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</si>
  <si>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</si>
  <si>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</si>
  <si>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</si>
  <si>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</si>
  <si>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</si>
  <si>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</si>
  <si>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</si>
  <si>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</si>
  <si>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</si>
  <si>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</si>
  <si>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</si>
  <si>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</si>
  <si>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</si>
  <si>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</si>
  <si>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</si>
  <si>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</si>
  <si>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</si>
  <si>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</si>
  <si>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</si>
  <si>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</si>
  <si>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</si>
  <si>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</si>
  <si>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</si>
  <si>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</si>
  <si>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</si>
  <si>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</si>
  <si>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</si>
  <si>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</si>
  <si>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</si>
  <si>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</si>
  <si>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</si>
  <si>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</si>
  <si>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</si>
  <si>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</si>
  <si>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</si>
  <si>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</si>
  <si>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</si>
  <si>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</si>
  <si>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</si>
  <si>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</si>
  <si>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</si>
  <si>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</si>
  <si>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</si>
  <si>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</si>
  <si>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</si>
  <si>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</si>
  <si>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</si>
  <si>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</si>
  <si>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</si>
  <si>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</si>
  <si>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</si>
  <si>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</si>
  <si>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</si>
  <si>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</si>
  <si>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</si>
  <si>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</si>
  <si>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</si>
  <si>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</si>
  <si>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</si>
  <si>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</si>
  <si>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</si>
  <si>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</si>
  <si>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</si>
  <si>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</si>
  <si>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</si>
  <si>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</si>
  <si>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</si>
  <si>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</si>
  <si>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</si>
  <si>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</si>
  <si>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</si>
  <si>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</si>
  <si>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</si>
  <si>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</si>
  <si>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</si>
  <si>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</si>
  <si>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</si>
  <si>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</si>
  <si>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</si>
  <si>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</si>
  <si>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</si>
  <si>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</si>
  <si>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</si>
  <si>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</si>
  <si>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</si>
  <si>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</si>
  <si>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</si>
  <si>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</si>
  <si>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</si>
  <si>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</si>
  <si>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</si>
  <si>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</si>
  <si>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</si>
  <si>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</si>
  <si>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</si>
  <si>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</si>
  <si>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</si>
  <si>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</si>
  <si>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</si>
  <si>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</si>
  <si>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</si>
  <si>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</si>
  <si>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</si>
  <si>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</si>
  <si>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</si>
  <si>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</si>
  <si>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</si>
  <si>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</si>
  <si>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</si>
  <si>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</si>
  <si>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</si>
  <si>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</si>
  <si>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</si>
  <si>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</si>
  <si>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</si>
  <si>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</si>
  <si>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</si>
  <si>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</si>
  <si>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</si>
  <si>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</si>
  <si>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</si>
  <si>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</si>
  <si>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</si>
  <si>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</si>
  <si>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</si>
  <si>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</si>
  <si>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</si>
  <si>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</si>
  <si>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</si>
  <si>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</si>
  <si>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</si>
  <si>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</si>
  <si>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</si>
  <si>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</si>
  <si>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</si>
  <si>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</si>
  <si>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</si>
  <si>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</si>
  <si>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</si>
  <si>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</si>
  <si>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</si>
  <si>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</si>
  <si>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</si>
  <si>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</si>
  <si>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</si>
  <si>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</si>
  <si>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</si>
  <si>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</si>
  <si>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</si>
  <si>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</si>
  <si>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</si>
  <si>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</si>
  <si>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</si>
  <si>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</si>
  <si>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</si>
  <si>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</si>
  <si>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</si>
  <si>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</si>
  <si>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</si>
  <si>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</si>
  <si>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</si>
  <si>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</si>
  <si>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</si>
  <si>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</si>
  <si>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</si>
  <si>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</si>
  <si>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</si>
  <si>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</si>
  <si>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</si>
  <si>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</si>
  <si>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</si>
  <si>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</si>
  <si>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</si>
  <si>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</si>
  <si>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</si>
  <si>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</si>
  <si>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</si>
  <si>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</si>
  <si>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</si>
  <si>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</si>
  <si>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</si>
  <si>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</si>
  <si>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</si>
  <si>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</si>
  <si>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</si>
  <si>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</si>
  <si>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</si>
  <si>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</si>
  <si>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</si>
  <si>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</si>
  <si>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</si>
  <si>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</si>
  <si>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</si>
  <si>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</si>
  <si>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</si>
  <si>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</si>
  <si>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</si>
  <si>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</si>
  <si>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</si>
  <si>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</si>
  <si>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</si>
  <si>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</si>
  <si>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</si>
  <si>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</si>
  <si>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</si>
  <si>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</si>
  <si>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</si>
  <si>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</si>
  <si>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</si>
  <si>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</si>
  <si>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</si>
  <si>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</si>
  <si>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</si>
  <si>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</si>
  <si>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</si>
  <si>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</si>
  <si>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</si>
  <si>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</si>
  <si>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</si>
  <si>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</si>
  <si>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</si>
  <si>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</si>
  <si>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</si>
  <si>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</si>
  <si>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</si>
  <si>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</si>
  <si>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</si>
  <si>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</si>
  <si>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</si>
  <si>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</si>
  <si>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</si>
  <si>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</si>
  <si>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</si>
  <si>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</si>
  <si>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</si>
  <si>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</si>
  <si>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</si>
  <si>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</si>
  <si>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</si>
  <si>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</si>
  <si>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</si>
  <si>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</si>
  <si>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</si>
  <si>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</si>
  <si>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</si>
  <si>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</si>
  <si>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</si>
  <si>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</si>
  <si>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</si>
  <si>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</si>
  <si>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</si>
  <si>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</si>
  <si>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</si>
  <si>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</si>
  <si>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</si>
  <si>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</si>
  <si>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</si>
  <si>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</si>
  <si>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</si>
  <si>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</si>
  <si>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</si>
  <si>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</si>
  <si>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</si>
  <si>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</si>
  <si>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</si>
  <si>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</si>
  <si>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</si>
  <si>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</si>
  <si>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</si>
  <si>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</si>
  <si>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</si>
  <si>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</si>
  <si>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</si>
  <si>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</si>
  <si>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</si>
  <si>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</si>
  <si>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</si>
  <si>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</si>
  <si>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</si>
  <si>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</si>
  <si>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</si>
  <si>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</si>
  <si>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</si>
  <si>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</si>
  <si>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</si>
  <si>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</si>
  <si>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</si>
  <si>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</si>
  <si>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</si>
  <si>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</si>
  <si>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</si>
  <si>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</si>
  <si>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</si>
  <si>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</si>
  <si>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</si>
  <si>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</si>
  <si>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</si>
  <si>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</si>
  <si>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</si>
  <si>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</si>
  <si>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</si>
  <si>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</si>
  <si>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</si>
  <si>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</si>
  <si>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</si>
  <si>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</si>
  <si>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</si>
  <si>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</si>
  <si>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</si>
  <si>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</si>
  <si>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</si>
  <si>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</si>
  <si>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</si>
  <si>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</si>
  <si>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</si>
  <si>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</si>
  <si>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</si>
  <si>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</si>
  <si>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</si>
  <si>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</si>
  <si>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</si>
  <si>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</si>
  <si>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</si>
  <si>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</si>
  <si>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</si>
  <si>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</si>
  <si>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</si>
  <si>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</si>
  <si>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</si>
  <si>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</si>
  <si>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</si>
  <si>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</si>
  <si>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</si>
  <si>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</si>
  <si>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</si>
  <si>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</si>
  <si>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</si>
  <si>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</si>
  <si>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</si>
  <si>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</si>
  <si>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</si>
  <si>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</si>
  <si>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</si>
  <si>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</si>
  <si>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</si>
  <si>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</si>
  <si>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</si>
  <si>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</si>
  <si>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</si>
  <si>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</si>
  <si>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</si>
  <si>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</si>
  <si>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</si>
  <si>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</si>
  <si>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</si>
  <si>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</si>
  <si>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</si>
  <si>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</si>
  <si>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</si>
  <si>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</si>
  <si>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</si>
  <si>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</si>
  <si>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</si>
  <si>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</si>
  <si>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</si>
  <si>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</si>
  <si>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</si>
  <si>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</si>
  <si>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</si>
  <si>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</si>
  <si>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</si>
  <si>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</si>
  <si>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</si>
  <si>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</si>
  <si>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</si>
  <si>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</si>
  <si>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</si>
  <si>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</si>
  <si>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</si>
  <si>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</si>
  <si>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</si>
  <si>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</si>
  <si>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</si>
  <si>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</si>
  <si>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</si>
  <si>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</si>
  <si>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</si>
  <si>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</si>
  <si>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</si>
  <si>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</si>
  <si>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</si>
  <si>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</si>
  <si>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</si>
  <si>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</si>
  <si>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</si>
  <si>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</si>
  <si>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</si>
  <si>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</si>
  <si>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</si>
  <si>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</si>
  <si>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</si>
  <si>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</si>
  <si>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</si>
  <si>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</si>
  <si>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</si>
  <si>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</si>
  <si>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</si>
  <si>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</si>
  <si>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</si>
  <si>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</si>
  <si>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</si>
  <si>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</si>
  <si>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</si>
  <si>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</si>
  <si>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</si>
  <si>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</si>
  <si>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</si>
  <si>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</si>
  <si>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</si>
  <si>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</si>
  <si>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</si>
  <si>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</si>
  <si>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</si>
  <si>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</si>
  <si>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</si>
  <si>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</si>
  <si>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</si>
  <si>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</si>
  <si>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</si>
  <si>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</si>
  <si>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</si>
  <si>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</si>
  <si>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</si>
  <si>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</si>
  <si>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</si>
  <si>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</si>
  <si>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</si>
  <si>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</si>
  <si>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</si>
  <si>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</si>
  <si>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</si>
  <si>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</si>
  <si>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</si>
  <si>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</si>
  <si>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</si>
  <si>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</si>
  <si>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</si>
  <si>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</si>
  <si>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</si>
  <si>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</si>
  <si>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</si>
  <si>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</si>
  <si>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</si>
  <si>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</si>
  <si>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</si>
  <si>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</si>
  <si>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</si>
  <si>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</si>
  <si>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</si>
  <si>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</si>
  <si>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</si>
  <si>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</si>
  <si>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</si>
  <si>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</si>
  <si>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</si>
  <si>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</si>
  <si>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</si>
  <si>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</si>
  <si>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</si>
  <si>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</si>
  <si>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</si>
  <si>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</si>
  <si>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</si>
  <si>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</si>
  <si>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</si>
  <si>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</si>
  <si>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</si>
  <si>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</si>
  <si>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</si>
  <si>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</si>
  <si>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</si>
  <si>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</si>
  <si>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</si>
  <si>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</si>
  <si>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</si>
  <si>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</si>
  <si>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</si>
  <si>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</si>
  <si>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</si>
  <si>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</si>
  <si>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</si>
  <si>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</si>
  <si>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</si>
  <si>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</si>
  <si>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</si>
  <si>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</si>
  <si>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</si>
  <si>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</si>
  <si>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</si>
  <si>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</si>
  <si>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</si>
  <si>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</si>
  <si>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</si>
  <si>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</si>
  <si>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</si>
  <si>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</si>
  <si>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</si>
  <si>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</si>
  <si>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</si>
  <si>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</si>
  <si>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</si>
  <si>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</si>
  <si>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</si>
  <si>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</si>
  <si>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</si>
  <si>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</si>
  <si>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</si>
  <si>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</si>
  <si>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</si>
  <si>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</si>
  <si>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</si>
  <si>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</si>
  <si>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</si>
  <si>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</si>
  <si>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</si>
  <si>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</si>
  <si>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</si>
  <si>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</si>
  <si>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</si>
  <si>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</si>
  <si>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</si>
  <si>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</si>
  <si>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</si>
  <si>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</si>
  <si>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</si>
  <si>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</si>
  <si>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</si>
  <si>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</si>
  <si>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</si>
  <si>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</si>
  <si>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</si>
  <si>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</si>
  <si>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</si>
  <si>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</si>
  <si>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</si>
  <si>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</si>
  <si>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</si>
  <si>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</si>
  <si>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</si>
  <si>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</si>
  <si>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</si>
  <si>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</si>
  <si>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</si>
  <si>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</si>
  <si>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</si>
  <si>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</si>
  <si>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</si>
  <si>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</si>
  <si>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</si>
  <si>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</si>
  <si>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</si>
  <si>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</si>
  <si>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</si>
  <si>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</si>
  <si>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</si>
  <si>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</si>
  <si>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</si>
  <si>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</si>
  <si>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</si>
  <si>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</si>
  <si>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</si>
  <si>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</si>
  <si>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</si>
  <si>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</si>
  <si>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</si>
  <si>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</si>
  <si>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</si>
  <si>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</si>
  <si>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</si>
  <si>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</si>
  <si>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</si>
  <si>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</si>
  <si>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</si>
  <si>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</si>
  <si>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</si>
  <si>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</si>
  <si>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</si>
  <si>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</si>
  <si>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</si>
  <si>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</si>
  <si>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</si>
  <si>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</si>
  <si>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</si>
  <si>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</si>
  <si>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</si>
  <si>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</si>
  <si>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</si>
  <si>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</si>
  <si>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</si>
  <si>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</si>
  <si>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</si>
  <si>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</si>
  <si>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</si>
  <si>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</si>
  <si>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</si>
  <si>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</si>
  <si>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</si>
  <si>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</si>
  <si>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</si>
  <si>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</si>
  <si>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</si>
  <si>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</si>
  <si>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</si>
  <si>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</si>
  <si>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</si>
  <si>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</si>
  <si>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</si>
  <si>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</si>
  <si>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</si>
  <si>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</si>
  <si>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</si>
  <si>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</si>
  <si>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</si>
  <si>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</si>
  <si>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</si>
  <si>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</si>
  <si>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</si>
  <si>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</si>
  <si>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</si>
  <si>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</si>
  <si>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</si>
  <si>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</si>
  <si>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</si>
  <si>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</si>
  <si>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</si>
  <si>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</si>
  <si>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</si>
  <si>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</si>
  <si>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</si>
  <si>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</si>
  <si>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</si>
  <si>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</si>
  <si>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</si>
  <si>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</si>
  <si>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</si>
  <si>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</si>
  <si>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</si>
  <si>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</si>
  <si>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</si>
  <si>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</si>
  <si>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</si>
  <si>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</si>
  <si>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</si>
  <si>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</si>
  <si>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</si>
  <si>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</si>
  <si>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</si>
  <si>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</si>
  <si>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</si>
  <si>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</si>
  <si>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</si>
  <si>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</si>
  <si>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</si>
  <si>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</si>
  <si>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</si>
  <si>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</si>
  <si>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</si>
  <si>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</si>
  <si>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</si>
  <si>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</si>
  <si>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</si>
  <si>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</si>
  <si>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</si>
  <si>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</si>
  <si>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</si>
  <si>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</si>
  <si>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</si>
  <si>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</si>
  <si>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</si>
  <si>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</si>
  <si>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</si>
  <si>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</si>
  <si>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</si>
  <si>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</si>
  <si>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</si>
  <si>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</si>
  <si>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</si>
  <si>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</si>
  <si>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</si>
  <si>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</si>
  <si>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</si>
  <si>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</si>
  <si>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</si>
  <si>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</si>
  <si>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</si>
  <si>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</si>
  <si>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</si>
  <si>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</si>
  <si>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</si>
  <si>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</si>
  <si>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</si>
  <si>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</si>
  <si>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</si>
  <si>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</si>
  <si>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</si>
  <si>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</si>
  <si>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</si>
  <si>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</si>
  <si>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</si>
  <si>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</si>
  <si>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</si>
  <si>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</si>
  <si>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</si>
  <si>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</si>
  <si>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</si>
  <si>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</si>
  <si>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</si>
  <si>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</si>
  <si>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</si>
  <si>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</si>
  <si>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</si>
  <si>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</si>
  <si>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</si>
  <si>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</si>
  <si>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</si>
  <si>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</si>
  <si>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</si>
  <si>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</si>
  <si>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</si>
  <si>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</si>
  <si>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</si>
  <si>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</si>
  <si>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</si>
  <si>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</si>
  <si>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</si>
  <si>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</si>
  <si>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</si>
  <si>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</si>
  <si>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</si>
  <si>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</si>
  <si>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</si>
  <si>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</si>
  <si>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</si>
  <si>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</si>
  <si>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</si>
  <si>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</si>
  <si>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</si>
  <si>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</si>
  <si>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</si>
  <si>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</si>
  <si>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</si>
  <si>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</si>
  <si>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</si>
  <si>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</si>
  <si>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</si>
  <si>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</si>
  <si>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</si>
  <si>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</si>
  <si>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</si>
  <si>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</si>
  <si>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</si>
  <si>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</si>
  <si>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</si>
  <si>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</si>
  <si>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</si>
  <si>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</si>
  <si>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</si>
  <si>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</si>
  <si>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</si>
  <si>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</si>
  <si>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</si>
  <si>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</si>
  <si>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</si>
  <si>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</si>
  <si>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</si>
  <si>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</si>
  <si>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</si>
  <si>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</si>
  <si>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</si>
  <si>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</si>
  <si>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</si>
  <si>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</si>
  <si>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</si>
  <si>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</si>
  <si>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</si>
  <si>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</si>
  <si>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</si>
  <si>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</si>
  <si>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</si>
  <si>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</si>
  <si>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</si>
  <si>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</si>
  <si>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</si>
  <si>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</si>
  <si>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</si>
  <si>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</si>
  <si>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</si>
  <si>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</si>
  <si>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</si>
  <si>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</si>
  <si>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</si>
  <si>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</si>
  <si>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</si>
  <si>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</si>
  <si>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</si>
  <si>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</si>
  <si>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</si>
  <si>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</si>
  <si>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</si>
  <si>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</si>
  <si>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</si>
  <si>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</si>
  <si>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</si>
  <si>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</si>
  <si>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</si>
  <si>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</si>
  <si>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</si>
  <si>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</si>
  <si>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</si>
  <si>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</si>
  <si>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</si>
  <si>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</si>
  <si>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</si>
  <si>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</si>
  <si>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</si>
  <si>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</si>
  <si>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</si>
  <si>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</si>
  <si>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</si>
  <si>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</si>
  <si>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</si>
  <si>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</si>
  <si>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</si>
  <si>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</si>
  <si>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</si>
  <si>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</si>
  <si>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</si>
  <si>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</si>
  <si>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</si>
  <si>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</si>
  <si>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</si>
  <si>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</si>
  <si>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</si>
  <si>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</si>
  <si>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</si>
  <si>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</si>
  <si>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</si>
  <si>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</si>
  <si>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</si>
  <si>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</si>
  <si>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</si>
  <si>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</si>
  <si>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</si>
  <si>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</si>
  <si>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</si>
  <si>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</si>
  <si>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</si>
  <si>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</si>
  <si>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</si>
  <si>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</si>
  <si>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</si>
  <si>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</si>
  <si>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</si>
  <si>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</si>
  <si>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</si>
  <si>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</si>
  <si>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</si>
  <si>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</si>
  <si>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</si>
  <si>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</si>
  <si>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</si>
  <si>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</si>
  <si>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</si>
  <si>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</si>
  <si>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</si>
  <si>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</si>
  <si>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</si>
  <si>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</si>
  <si>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</si>
  <si>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</si>
  <si>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</si>
  <si>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</si>
  <si>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</si>
  <si>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</si>
  <si>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</si>
  <si>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</si>
  <si>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</si>
  <si>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</si>
  <si>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</si>
  <si>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</si>
  <si>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</si>
  <si>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</si>
  <si>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</si>
  <si>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</si>
  <si>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</si>
  <si>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</si>
  <si>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</si>
  <si>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</si>
  <si>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</si>
  <si>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</si>
  <si>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</si>
  <si>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</si>
  <si>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</si>
  <si>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</si>
  <si>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</si>
  <si>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</si>
  <si>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</si>
  <si>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</si>
  <si>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</si>
  <si>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</si>
  <si>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</si>
  <si>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</si>
  <si>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</si>
  <si>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</si>
  <si>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</si>
  <si>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</si>
  <si>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</si>
  <si>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</si>
  <si>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</si>
  <si>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</si>
  <si>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</si>
  <si>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</si>
  <si>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</si>
  <si>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</si>
  <si>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</si>
  <si>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</si>
  <si>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</si>
  <si>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</si>
  <si>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</si>
  <si>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</si>
  <si>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</si>
  <si>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</si>
  <si>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</si>
  <si>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</si>
  <si>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</si>
  <si>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</si>
  <si>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</si>
  <si>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</si>
  <si>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</si>
  <si>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</si>
  <si>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</si>
  <si>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</si>
  <si>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</si>
  <si>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</si>
  <si>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</si>
  <si>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</si>
  <si>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</si>
  <si>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</si>
  <si>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</si>
  <si>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</si>
  <si>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</si>
  <si>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</si>
  <si>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</si>
  <si>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</si>
  <si>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</si>
  <si>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</si>
  <si>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</si>
  <si>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</si>
  <si>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</si>
  <si>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</si>
  <si>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</si>
  <si>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</si>
  <si>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</si>
  <si>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</si>
  <si>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</si>
  <si>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</si>
  <si>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</si>
  <si>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</si>
  <si>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</si>
  <si>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</si>
  <si>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</si>
  <si>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</si>
  <si>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</si>
  <si>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</si>
  <si>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</si>
  <si>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</si>
  <si>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</si>
  <si>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</si>
  <si>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</si>
  <si>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</si>
  <si>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</si>
  <si>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</si>
  <si>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</si>
  <si>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</si>
  <si>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</si>
  <si>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</si>
  <si>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</si>
  <si>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</si>
  <si>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</si>
  <si>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</si>
  <si>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</si>
  <si>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</si>
  <si>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</si>
  <si>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</si>
  <si>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</si>
  <si>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</si>
  <si>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</si>
  <si>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</si>
  <si>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</si>
  <si>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</si>
  <si>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</si>
  <si>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</si>
  <si>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</si>
  <si>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</si>
  <si>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</si>
  <si>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</si>
  <si>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</si>
  <si>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</si>
  <si>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</si>
  <si>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</si>
  <si>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</si>
  <si>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</si>
  <si>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</si>
  <si>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</si>
  <si>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</si>
  <si>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</si>
  <si>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</si>
  <si>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</si>
  <si>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</si>
  <si>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</si>
  <si>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</si>
  <si>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</si>
  <si>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</si>
  <si>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</si>
  <si>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</si>
  <si>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</si>
  <si>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</si>
  <si>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</si>
  <si>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</si>
  <si>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</si>
  <si>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</si>
  <si>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</si>
  <si>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</si>
  <si>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</si>
  <si>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</si>
  <si>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</si>
  <si>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</si>
  <si>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</si>
  <si>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</si>
  <si>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</si>
  <si>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</si>
  <si>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</si>
  <si>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</si>
  <si>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</si>
  <si>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</si>
  <si>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</si>
  <si>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</si>
  <si>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</si>
  <si>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</si>
  <si>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</si>
  <si>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</si>
  <si>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</si>
  <si>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</si>
  <si>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</si>
  <si>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</si>
  <si>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</si>
  <si>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</si>
  <si>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</si>
  <si>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</si>
  <si>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</si>
  <si>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</si>
  <si>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</si>
  <si>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</si>
  <si>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</si>
  <si>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</si>
  <si>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</si>
  <si>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</si>
  <si>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</si>
  <si>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</si>
  <si>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</si>
  <si>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</si>
  <si>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</si>
  <si>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</si>
  <si>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</si>
  <si>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</si>
  <si>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</si>
  <si>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</si>
  <si>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</si>
  <si>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</si>
  <si>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</si>
  <si>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</si>
  <si>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</si>
  <si>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</si>
  <si>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</si>
  <si>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</si>
  <si>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</si>
  <si>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</si>
  <si>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</si>
  <si>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</si>
  <si>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</si>
  <si>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</si>
  <si>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</si>
  <si>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</si>
  <si>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</si>
  <si>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</si>
  <si>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</si>
  <si>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</si>
  <si>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</si>
  <si>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</si>
  <si>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</si>
  <si>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</si>
  <si>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</si>
  <si>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</si>
  <si>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</si>
  <si>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</si>
  <si>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</si>
  <si>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</si>
  <si>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</si>
  <si>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</si>
  <si>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</si>
  <si>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</si>
  <si>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</si>
  <si>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</si>
  <si>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</si>
  <si>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</si>
  <si>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</si>
  <si>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</si>
  <si>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</si>
  <si>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</si>
  <si>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</si>
  <si>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</si>
  <si>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</si>
  <si>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</si>
  <si>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</si>
  <si>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</si>
  <si>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</si>
  <si>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</si>
  <si>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</si>
  <si>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</si>
  <si>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</si>
  <si>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</si>
  <si>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</si>
  <si>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</si>
  <si>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</si>
  <si>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</si>
  <si>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</si>
  <si>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</si>
  <si>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</si>
  <si>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</si>
  <si>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</si>
  <si>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</si>
  <si>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</si>
  <si>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</si>
  <si>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</si>
  <si>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</si>
  <si>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</si>
  <si>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</si>
  <si>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</si>
  <si>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</si>
  <si>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</si>
  <si>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</si>
  <si>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</si>
  <si>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</si>
  <si>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</si>
  <si>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</si>
  <si>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</si>
  <si>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</si>
  <si>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</si>
  <si>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</si>
  <si>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</si>
  <si>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</si>
  <si>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</si>
  <si>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</si>
  <si>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</si>
  <si>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</si>
  <si>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</si>
  <si>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</si>
  <si>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</si>
  <si>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</si>
  <si>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</si>
  <si>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</si>
  <si>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</si>
  <si>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</si>
  <si>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</si>
  <si>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</si>
  <si>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</si>
  <si>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</si>
  <si>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</si>
  <si>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</si>
  <si>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</si>
  <si>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</si>
  <si>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</si>
  <si>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</si>
  <si>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</si>
  <si>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</si>
  <si>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</si>
  <si>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</si>
  <si>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</si>
  <si>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</si>
  <si>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</si>
  <si>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</si>
  <si>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</si>
  <si>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</si>
  <si>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</si>
  <si>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</si>
  <si>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</si>
  <si>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</si>
  <si>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</si>
  <si>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</si>
  <si>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</si>
  <si>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</si>
  <si>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</si>
  <si>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</si>
  <si>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</si>
  <si>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</si>
  <si>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</si>
  <si>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</si>
  <si>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</si>
  <si>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</si>
  <si>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</si>
  <si>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</si>
  <si>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</si>
  <si>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</si>
  <si>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</si>
  <si>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</si>
  <si>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</si>
  <si>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</si>
  <si>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</si>
  <si>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</si>
  <si>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</si>
  <si>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</si>
  <si>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</si>
  <si>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</si>
  <si>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</si>
  <si>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</si>
  <si>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</si>
  <si>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</si>
  <si>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</si>
  <si>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</si>
  <si>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</si>
  <si>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</si>
  <si>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</si>
  <si>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</si>
  <si>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</si>
  <si>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</si>
  <si>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</si>
  <si>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</si>
  <si>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</si>
  <si>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</si>
  <si>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</si>
  <si>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</si>
  <si>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</si>
  <si>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</si>
  <si>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</si>
  <si>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</si>
  <si>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</si>
  <si>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</si>
  <si>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</si>
  <si>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</si>
  <si>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</si>
  <si>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</si>
  <si>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</si>
  <si>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</si>
  <si>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</si>
  <si>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</si>
  <si>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</si>
  <si>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</si>
  <si>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</si>
  <si>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</si>
  <si>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</si>
  <si>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</si>
  <si>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</si>
  <si>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</si>
  <si>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</si>
  <si>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</si>
  <si>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</si>
  <si>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</si>
  <si>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</si>
  <si>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</si>
  <si>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</si>
  <si>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</si>
  <si>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</si>
  <si>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</si>
  <si>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</si>
  <si>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</si>
  <si>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</si>
  <si>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</si>
  <si>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</si>
  <si>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</si>
  <si>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</si>
  <si>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</si>
  <si>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</si>
  <si>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</si>
  <si>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</si>
  <si>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</si>
  <si>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</si>
  <si>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</si>
  <si>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</si>
  <si>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</si>
  <si>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</si>
  <si>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</si>
  <si>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</si>
  <si>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</si>
  <si>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</si>
  <si>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</si>
  <si>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</si>
  <si>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</si>
  <si>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</si>
  <si>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</si>
  <si>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</si>
  <si>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</si>
  <si>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</si>
  <si>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</si>
  <si>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</si>
  <si>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</si>
  <si>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</si>
  <si>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</si>
  <si>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</si>
  <si>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</si>
  <si>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</si>
  <si>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</si>
  <si>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</si>
  <si>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</si>
  <si>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</si>
  <si>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</si>
  <si>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</si>
  <si>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</si>
  <si>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</si>
  <si>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</si>
  <si>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</si>
  <si>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</si>
  <si>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</si>
  <si>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</si>
  <si>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</si>
  <si>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</si>
  <si>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</si>
  <si>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</si>
  <si>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</si>
  <si>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</si>
  <si>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</si>
  <si>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</si>
  <si>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</si>
  <si>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</si>
  <si>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</si>
  <si>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</si>
  <si>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</si>
  <si>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</si>
  <si>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</si>
  <si>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</si>
  <si>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</si>
  <si>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</si>
  <si>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</si>
  <si>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</si>
  <si>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</si>
  <si>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</si>
  <si>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</si>
  <si>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</si>
  <si>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</si>
  <si>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</si>
  <si>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</si>
  <si>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</si>
  <si>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</si>
  <si>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</si>
  <si>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</si>
  <si>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</si>
  <si>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</si>
  <si>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</si>
  <si>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</si>
  <si>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</si>
  <si>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</si>
  <si>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</si>
  <si>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</si>
  <si>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</si>
  <si>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</si>
  <si>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</si>
  <si>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</si>
  <si>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</si>
  <si>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</si>
  <si>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</si>
  <si>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</si>
  <si>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</si>
  <si>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</si>
  <si>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</si>
  <si>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</si>
  <si>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</si>
  <si>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</si>
  <si>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</si>
  <si>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</si>
  <si>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</si>
  <si>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</si>
  <si>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</si>
  <si>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</si>
  <si>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</si>
  <si>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</si>
  <si>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</si>
  <si>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</si>
  <si>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</si>
  <si>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</si>
  <si>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</si>
  <si>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</si>
  <si>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</si>
  <si>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</si>
  <si>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</si>
  <si>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</si>
  <si>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</si>
  <si>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</si>
  <si>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</si>
  <si>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</si>
  <si>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</si>
  <si>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</si>
  <si>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</si>
  <si>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</si>
  <si>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</si>
  <si>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</si>
  <si>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</si>
  <si>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</si>
  <si>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</si>
  <si>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</si>
  <si>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</si>
  <si>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</si>
  <si>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</si>
  <si>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</si>
  <si>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</si>
  <si>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</si>
  <si>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</si>
  <si>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</si>
  <si>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</si>
  <si>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</si>
  <si>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</si>
  <si>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</si>
  <si>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</si>
  <si>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</si>
  <si>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</si>
  <si>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</si>
  <si>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</si>
  <si>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</si>
  <si>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</si>
  <si>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</si>
  <si>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</si>
  <si>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</si>
  <si>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</si>
  <si>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</si>
  <si>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</si>
  <si>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</si>
  <si>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</si>
  <si>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</si>
  <si>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</si>
  <si>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</si>
  <si>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</si>
  <si>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</si>
  <si>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</si>
  <si>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</si>
  <si>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</si>
  <si>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</si>
  <si>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</si>
  <si>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</si>
  <si>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</si>
  <si>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</si>
  <si>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</si>
  <si>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</si>
  <si>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</si>
  <si>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</si>
  <si>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</si>
  <si>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</si>
  <si>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</si>
  <si>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</si>
  <si>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</si>
  <si>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</si>
  <si>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</si>
  <si>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</si>
  <si>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</si>
  <si>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</si>
  <si>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</si>
  <si>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</si>
  <si>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</si>
  <si>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</si>
  <si>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</si>
  <si>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</si>
  <si>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</si>
  <si>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</si>
  <si>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</si>
  <si>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</si>
  <si>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</si>
  <si>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</si>
  <si>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</si>
  <si>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</si>
  <si>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</si>
  <si>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</si>
  <si>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</si>
  <si>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</si>
  <si>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</si>
  <si>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</si>
  <si>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</si>
  <si>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</si>
  <si>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</si>
  <si>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</si>
  <si>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</si>
  <si>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</si>
  <si>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</si>
  <si>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</si>
  <si>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</si>
  <si>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</si>
  <si>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</si>
  <si>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</si>
  <si>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</si>
  <si>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</si>
  <si>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</si>
  <si>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</si>
  <si>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</si>
  <si>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</si>
  <si>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</si>
  <si>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</si>
  <si>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</si>
  <si>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</si>
  <si>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</si>
  <si>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</si>
  <si>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</si>
  <si>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</si>
  <si>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</si>
  <si>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</si>
  <si>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</si>
  <si>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</si>
  <si>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</si>
  <si>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</si>
  <si>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</si>
  <si>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</si>
  <si>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</si>
  <si>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</si>
  <si>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</si>
  <si>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</si>
  <si>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</si>
  <si>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</si>
  <si>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</si>
  <si>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</si>
  <si>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</si>
  <si>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</si>
  <si>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</si>
  <si>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</si>
  <si>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</si>
  <si>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</si>
  <si>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</si>
  <si>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</si>
  <si>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</si>
  <si>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</si>
  <si>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</si>
  <si>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</si>
  <si>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</si>
  <si>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</si>
  <si>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</si>
  <si>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</si>
  <si>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</si>
  <si>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</si>
  <si>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</si>
  <si>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</si>
  <si>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</si>
  <si>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</si>
  <si>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</si>
  <si>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</si>
  <si>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</si>
  <si>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</si>
  <si>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</si>
  <si>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</si>
  <si>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</si>
  <si>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</si>
  <si>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</si>
  <si>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</si>
  <si>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</si>
  <si>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</si>
  <si>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</si>
  <si>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</si>
  <si>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</si>
  <si>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</si>
  <si>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</si>
  <si>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</si>
  <si>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</si>
  <si>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</si>
  <si>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</si>
  <si>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</si>
  <si>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</si>
  <si>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</si>
  <si>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</si>
  <si>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</si>
  <si>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</si>
  <si>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</si>
  <si>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</si>
  <si>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</si>
  <si>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</si>
  <si>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</si>
  <si>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</si>
  <si>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</si>
  <si>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</si>
  <si>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</si>
  <si>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</si>
  <si>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</si>
  <si>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</si>
  <si>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</si>
  <si>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</si>
  <si>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</si>
  <si>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</si>
  <si>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</si>
  <si>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</si>
  <si>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</si>
  <si>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</si>
  <si>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</si>
  <si>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</si>
  <si>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</si>
  <si>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</si>
  <si>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</si>
  <si>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</si>
  <si>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</si>
  <si>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</si>
  <si>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</si>
  <si>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</si>
  <si>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</si>
  <si>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</si>
  <si>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</si>
  <si>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</si>
  <si>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</si>
  <si>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</si>
  <si>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</si>
  <si>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</si>
  <si>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</si>
  <si>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</si>
  <si>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</si>
  <si>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</si>
  <si>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</si>
  <si>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</si>
  <si>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</si>
  <si>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</si>
  <si>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</si>
  <si>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</si>
  <si>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</si>
  <si>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</si>
  <si>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</si>
  <si>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</si>
  <si>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</si>
  <si>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</si>
  <si>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</si>
  <si>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</si>
  <si>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</si>
  <si>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</si>
  <si>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</si>
  <si>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</si>
  <si>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</si>
  <si>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</si>
  <si>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</si>
  <si>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</si>
  <si>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</si>
  <si>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</si>
  <si>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</si>
  <si>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</si>
  <si>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</si>
  <si>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</si>
  <si>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</si>
  <si>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</si>
  <si>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</si>
  <si>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</si>
  <si>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</si>
  <si>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</si>
  <si>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</si>
  <si>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</si>
  <si>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</si>
  <si>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</si>
  <si>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</si>
  <si>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</si>
  <si>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</si>
  <si>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</si>
  <si>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</si>
  <si>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</si>
  <si>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</si>
  <si>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</si>
  <si>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</si>
  <si>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</si>
  <si>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</si>
  <si>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</si>
  <si>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</si>
  <si>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</si>
  <si>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</si>
  <si>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</si>
  <si>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</si>
  <si>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</si>
  <si>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</si>
  <si>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</si>
  <si>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</si>
  <si>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</si>
  <si>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</si>
  <si>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</si>
  <si>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</si>
  <si>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</si>
  <si>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</si>
  <si>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</si>
  <si>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</si>
  <si>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</si>
  <si>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</si>
  <si>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</si>
  <si>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</si>
  <si>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</si>
  <si>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</si>
  <si>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</si>
  <si>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</si>
  <si>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</si>
  <si>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</si>
  <si>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</si>
  <si>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</si>
  <si>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</si>
  <si>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</si>
  <si>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</si>
  <si>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</si>
  <si>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</si>
  <si>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</si>
  <si>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</si>
  <si>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</si>
  <si>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</si>
  <si>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</si>
  <si>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</si>
  <si>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</si>
  <si>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</si>
  <si>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</si>
  <si>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</si>
  <si>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</si>
  <si>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</si>
  <si>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</si>
  <si>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</si>
  <si>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</si>
  <si>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</si>
  <si>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</si>
  <si>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</si>
  <si>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</si>
  <si>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</si>
  <si>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</si>
  <si>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</si>
  <si>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</si>
  <si>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</si>
  <si>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</si>
  <si>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</si>
  <si>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</si>
  <si>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</si>
  <si>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</si>
  <si>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</si>
  <si>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</si>
  <si>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</si>
  <si>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</si>
  <si>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</si>
  <si>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</si>
  <si>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</si>
  <si>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</si>
  <si>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</si>
  <si>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</si>
  <si>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</si>
  <si>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</si>
  <si>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</si>
  <si>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</si>
  <si>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</si>
  <si>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</si>
  <si>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</si>
  <si>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</si>
  <si>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</si>
  <si>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</si>
  <si>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</si>
  <si>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</si>
  <si>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</si>
  <si>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</si>
  <si>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</si>
  <si>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</si>
  <si>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</si>
  <si>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</si>
  <si>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</si>
  <si>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</si>
  <si>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</si>
  <si>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</si>
  <si>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</si>
  <si>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</si>
  <si>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</si>
  <si>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</si>
  <si>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</si>
  <si>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</si>
  <si>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</si>
  <si>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</si>
  <si>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</si>
  <si>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</si>
  <si>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</si>
  <si>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</si>
  <si>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</si>
  <si>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</si>
  <si>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</si>
  <si>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</si>
  <si>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</si>
  <si>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</si>
  <si>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</si>
  <si>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</si>
  <si>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</si>
  <si>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</si>
  <si>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</si>
  <si>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</si>
  <si>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</si>
  <si>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</si>
  <si>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</si>
  <si>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</si>
  <si>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</si>
  <si>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</si>
  <si>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</si>
  <si>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</si>
  <si>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</si>
  <si>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</si>
  <si>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</si>
  <si>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</si>
  <si>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</si>
  <si>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</si>
  <si>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</si>
  <si>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</si>
  <si>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</si>
  <si>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</si>
  <si>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</si>
  <si>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</si>
  <si>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</si>
  <si>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</si>
  <si>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</si>
  <si>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</si>
  <si>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</si>
  <si>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</si>
  <si>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</si>
  <si>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</si>
  <si>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</si>
  <si>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</si>
  <si>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</si>
  <si>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</si>
  <si>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</si>
  <si>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</si>
  <si>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</si>
  <si>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</si>
  <si>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</si>
  <si>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</si>
  <si>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</si>
  <si>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</si>
  <si>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</si>
  <si>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</si>
  <si>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</si>
  <si>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</si>
  <si>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</si>
  <si>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</si>
  <si>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</si>
  <si>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</si>
  <si>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</si>
  <si>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</si>
  <si>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</si>
  <si>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</si>
  <si>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</si>
  <si>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</si>
  <si>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</si>
  <si>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</si>
  <si>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</si>
  <si>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</si>
  <si>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</si>
  <si>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</si>
  <si>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</si>
  <si>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</si>
  <si>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</si>
  <si>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</si>
  <si>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</si>
  <si>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</si>
  <si>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</si>
  <si>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</si>
  <si>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</si>
  <si>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</si>
  <si>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</si>
  <si>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</si>
  <si>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</si>
  <si>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</si>
  <si>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</si>
  <si>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</si>
  <si>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</si>
  <si>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</si>
  <si>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</si>
  <si>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</si>
  <si>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</si>
  <si>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</si>
  <si>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</si>
  <si>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</si>
  <si>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</si>
  <si>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</si>
  <si>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</si>
  <si>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</si>
  <si>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</si>
  <si>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</si>
  <si>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</si>
  <si>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</si>
  <si>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</si>
  <si>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</si>
  <si>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</si>
  <si>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</si>
  <si>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</si>
  <si>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</si>
  <si>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</si>
  <si>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</si>
  <si>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</si>
  <si>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</si>
  <si>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</si>
  <si>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</si>
  <si>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</si>
  <si>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</si>
  <si>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</si>
  <si>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</si>
  <si>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</si>
  <si>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</si>
  <si>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</si>
  <si>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</si>
  <si>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</si>
  <si>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</si>
  <si>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</si>
  <si>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</si>
  <si>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</si>
  <si>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</si>
  <si>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</si>
  <si>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</si>
  <si>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</si>
  <si>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</si>
  <si>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</si>
  <si>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</si>
  <si>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</si>
  <si>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</si>
  <si>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</si>
  <si>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</si>
  <si>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</si>
  <si>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</si>
  <si>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</si>
  <si>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</si>
  <si>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</si>
  <si>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</si>
  <si>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</si>
  <si>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</si>
  <si>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</si>
  <si>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</si>
  <si>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</si>
  <si>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</si>
  <si>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</si>
  <si>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</si>
  <si>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</si>
  <si>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</si>
  <si>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</si>
  <si>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</si>
  <si>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</si>
  <si>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</si>
  <si>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</si>
  <si>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</si>
  <si>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</si>
  <si>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</si>
  <si>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</si>
  <si>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</si>
  <si>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</si>
  <si>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</si>
  <si>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</si>
  <si>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</si>
  <si>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</si>
  <si>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</si>
  <si>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</si>
  <si>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</si>
  <si>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</si>
  <si>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</si>
  <si>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</si>
  <si>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</si>
  <si>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</si>
  <si>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</si>
  <si>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</si>
  <si>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</si>
  <si>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</si>
  <si>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</si>
  <si>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</si>
  <si>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</si>
  <si>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</si>
  <si>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</si>
  <si>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</si>
  <si>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</si>
  <si>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</si>
  <si>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</si>
  <si>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</si>
  <si>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</si>
  <si>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</si>
  <si>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</si>
  <si>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</si>
  <si>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</si>
  <si>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</si>
  <si>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</si>
  <si>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</si>
  <si>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</si>
  <si>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</si>
  <si>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</si>
  <si>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</si>
  <si>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</si>
  <si>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</si>
  <si>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</si>
  <si>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</si>
  <si>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</si>
  <si>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</si>
  <si>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</si>
  <si>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</si>
  <si>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</si>
  <si>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</si>
  <si>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</si>
  <si>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</si>
  <si>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</si>
  <si>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</si>
  <si>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</si>
  <si>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</si>
  <si>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</si>
  <si>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</si>
  <si>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</si>
  <si>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</si>
  <si>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</si>
  <si>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</si>
  <si>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</si>
  <si>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</si>
  <si>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</si>
  <si>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</si>
  <si>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</si>
  <si>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</si>
  <si>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</si>
  <si>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</si>
  <si>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</si>
  <si>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</si>
  <si>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</si>
  <si>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</si>
  <si>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</si>
  <si>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</si>
  <si>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</si>
  <si>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</si>
  <si>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</si>
  <si>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</si>
  <si>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</si>
  <si>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</si>
  <si>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</si>
  <si>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</si>
  <si>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</si>
  <si>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</si>
  <si>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</si>
  <si>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</si>
  <si>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</si>
  <si>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</si>
  <si>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</si>
  <si>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</si>
  <si>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</si>
  <si>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</si>
  <si>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</si>
  <si>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</si>
  <si>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</si>
  <si>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</si>
  <si>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</si>
  <si>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</si>
  <si>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</si>
  <si>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</si>
  <si>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</si>
  <si>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</si>
  <si>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</si>
  <si>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</si>
  <si>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</si>
  <si>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</si>
  <si>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</si>
  <si>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</si>
  <si>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</si>
  <si>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</si>
  <si>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</si>
  <si>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</si>
  <si>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</si>
  <si>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</si>
  <si>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</si>
  <si>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</si>
  <si>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</si>
  <si>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</si>
  <si>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</si>
  <si>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</si>
  <si>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</si>
  <si>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</si>
  <si>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</si>
  <si>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</si>
  <si>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</si>
  <si>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</si>
  <si>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</si>
  <si>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</si>
  <si>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</si>
  <si>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</si>
  <si>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</si>
  <si>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</si>
  <si>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</si>
  <si>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</si>
  <si>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</si>
  <si>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</si>
  <si>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</si>
  <si>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</si>
  <si>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</si>
  <si>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</si>
  <si>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</si>
  <si>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</si>
  <si>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</si>
  <si>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</si>
  <si>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</si>
  <si>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</si>
  <si>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</si>
  <si>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</si>
  <si>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</si>
  <si>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</si>
  <si>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</si>
  <si>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</si>
  <si>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</si>
  <si>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</si>
  <si>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</si>
  <si>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</si>
  <si>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</si>
  <si>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</si>
  <si>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</si>
  <si>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</si>
  <si>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</si>
  <si>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</si>
  <si>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</si>
  <si>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</si>
  <si>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</si>
  <si>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</si>
  <si>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</si>
  <si>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</si>
  <si>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</si>
  <si>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</si>
  <si>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</si>
  <si>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</si>
  <si>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</si>
  <si>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</si>
  <si>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</si>
  <si>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</si>
  <si>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</si>
  <si>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</si>
  <si>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</si>
  <si>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</si>
  <si>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</si>
  <si>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</si>
  <si>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</si>
  <si>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</si>
  <si>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</si>
  <si>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</si>
  <si>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</si>
  <si>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</si>
  <si>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</si>
  <si>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</si>
  <si>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</si>
  <si>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</si>
  <si>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</si>
  <si>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</si>
  <si>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</si>
  <si>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</si>
  <si>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</si>
  <si>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</si>
  <si>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</si>
  <si>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</si>
  <si>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</si>
  <si>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</si>
  <si>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</si>
  <si>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</si>
  <si>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</si>
  <si>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</si>
  <si>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</si>
  <si>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</si>
  <si>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</si>
  <si>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</si>
  <si>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</si>
  <si>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</si>
  <si>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</si>
  <si>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</si>
  <si>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</si>
  <si>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</si>
  <si>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</si>
  <si>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</si>
  <si>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</si>
  <si>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</si>
  <si>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</si>
  <si>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</si>
  <si>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</si>
  <si>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</si>
  <si>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</si>
  <si>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</si>
  <si>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</si>
  <si>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</si>
  <si>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</si>
  <si>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</si>
  <si>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</si>
  <si>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</si>
  <si>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</si>
  <si>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</si>
  <si>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</si>
  <si>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</si>
  <si>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</si>
  <si>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</si>
  <si>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</si>
  <si>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</si>
  <si>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</si>
  <si>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</si>
  <si>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</si>
  <si>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</si>
  <si>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</si>
  <si>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</si>
  <si>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</si>
  <si>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</si>
  <si>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</si>
  <si>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</si>
  <si>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</si>
  <si>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</si>
  <si>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</si>
  <si>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</si>
  <si>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</si>
  <si>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</si>
  <si>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</si>
  <si>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</si>
  <si>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</si>
  <si>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</si>
  <si>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</si>
  <si>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</si>
  <si>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</si>
  <si>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</si>
  <si>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</si>
  <si>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</si>
  <si>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</si>
  <si>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</si>
  <si>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</si>
  <si>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</si>
  <si>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</si>
  <si>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</si>
  <si>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</si>
  <si>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</si>
  <si>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</si>
  <si>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</si>
  <si>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</si>
  <si>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</si>
  <si>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</si>
  <si>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</si>
  <si>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</si>
  <si>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</si>
  <si>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</si>
  <si>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</si>
  <si>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</si>
  <si>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</si>
  <si>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</si>
  <si>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</si>
  <si>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</si>
  <si>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</si>
  <si>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</si>
  <si>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</si>
  <si>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</si>
  <si>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</si>
  <si>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</si>
  <si>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</si>
  <si>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</si>
  <si>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</si>
  <si>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</si>
  <si>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</si>
  <si>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</si>
  <si>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</si>
  <si>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</si>
  <si>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</si>
  <si>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</si>
  <si>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</si>
  <si>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</si>
  <si>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</si>
  <si>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</si>
  <si>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</si>
  <si>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</si>
  <si>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</si>
  <si>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</si>
  <si>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</si>
  <si>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</si>
  <si>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</si>
  <si>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</si>
  <si>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</si>
  <si>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</si>
  <si>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</si>
  <si>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</si>
  <si>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</si>
  <si>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</si>
  <si>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</si>
  <si>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</si>
  <si>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</si>
  <si>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</si>
  <si>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</si>
  <si>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</si>
  <si>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</si>
  <si>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</si>
  <si>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</si>
  <si>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</si>
  <si>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</si>
  <si>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</si>
  <si>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</si>
  <si>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</si>
  <si>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</si>
  <si>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</si>
  <si>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</si>
  <si>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</si>
  <si>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</si>
  <si>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</si>
  <si>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</si>
  <si>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</si>
  <si>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</si>
  <si>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</si>
  <si>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</si>
  <si>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</si>
  <si>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</si>
  <si>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</si>
  <si>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</si>
  <si>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</si>
  <si>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</si>
  <si>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</si>
  <si>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</si>
  <si>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</si>
  <si>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</si>
  <si>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</si>
  <si>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</si>
  <si>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</si>
  <si>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</si>
  <si>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</si>
  <si>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</si>
  <si>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</si>
  <si>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</si>
  <si>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</si>
  <si>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</si>
  <si>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</si>
  <si>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</si>
  <si>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</si>
  <si>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</si>
  <si>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</si>
  <si>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</si>
  <si>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</si>
  <si>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</si>
  <si>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</si>
  <si>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</si>
  <si>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</si>
  <si>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</si>
  <si>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</si>
  <si>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</si>
  <si>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</si>
  <si>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</si>
  <si>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</si>
  <si>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</si>
  <si>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</si>
  <si>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</si>
  <si>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</si>
  <si>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</si>
  <si>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</si>
  <si>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</si>
  <si>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</si>
  <si>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</si>
  <si>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</si>
  <si>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</si>
  <si>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</si>
  <si>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</si>
  <si>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</si>
  <si>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</si>
  <si>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</si>
  <si>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</si>
  <si>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</si>
  <si>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</si>
  <si>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</si>
  <si>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</si>
  <si>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</si>
  <si>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</si>
  <si>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</si>
  <si>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</si>
  <si>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</si>
  <si>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</si>
  <si>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</si>
  <si>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</si>
  <si>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</si>
  <si>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</si>
  <si>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</si>
  <si>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</si>
  <si>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</si>
  <si>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</si>
  <si>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</si>
  <si>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</si>
  <si>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</si>
  <si>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</si>
  <si>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</si>
  <si>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</si>
  <si>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</si>
  <si>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</si>
  <si>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</si>
  <si>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</si>
  <si>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</si>
  <si>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</si>
  <si>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</si>
  <si>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</si>
  <si>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</si>
  <si>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</si>
  <si>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</si>
  <si>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</si>
  <si>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</si>
  <si>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</si>
  <si>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</si>
  <si>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</si>
  <si>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</si>
  <si>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</si>
  <si>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</si>
  <si>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</si>
  <si>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</si>
  <si>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</si>
  <si>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</si>
  <si>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</si>
  <si>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</si>
  <si>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</si>
  <si>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</si>
  <si>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</si>
  <si>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</si>
  <si>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</si>
  <si>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</si>
  <si>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</si>
  <si>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</si>
  <si>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</si>
  <si>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</si>
  <si>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</si>
  <si>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</si>
  <si>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</si>
  <si>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</si>
  <si>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</si>
  <si>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</si>
  <si>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</si>
  <si>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</si>
  <si>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</si>
  <si>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</si>
  <si>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</si>
  <si>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</si>
  <si>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</si>
  <si>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</si>
  <si>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</si>
  <si>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</si>
  <si>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</si>
  <si>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</si>
  <si>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</si>
  <si>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</si>
  <si>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</si>
  <si>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</si>
  <si>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</si>
  <si>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</si>
  <si>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</si>
  <si>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</si>
  <si>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</si>
  <si>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</si>
  <si>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</si>
  <si>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</si>
  <si>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</si>
  <si>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</si>
  <si>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</si>
  <si>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</si>
  <si>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</si>
  <si>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</si>
  <si>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</si>
  <si>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</si>
  <si>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</si>
  <si>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</si>
  <si>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</si>
  <si>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</si>
  <si>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</si>
  <si>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</si>
  <si>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</si>
  <si>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</si>
  <si>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</si>
  <si>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</si>
  <si>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</si>
  <si>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</si>
  <si>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</si>
  <si>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</si>
  <si>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</si>
  <si>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</si>
  <si>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</si>
  <si>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</si>
  <si>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</si>
  <si>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</si>
  <si>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</si>
  <si>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</si>
  <si>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</si>
  <si>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</si>
  <si>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</si>
  <si>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</si>
  <si>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</si>
  <si>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</si>
  <si>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</si>
  <si>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</si>
  <si>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</si>
  <si>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</si>
  <si>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</si>
  <si>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</si>
  <si>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</si>
  <si>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</si>
  <si>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</si>
  <si>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</si>
  <si>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</si>
  <si>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</si>
  <si>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</si>
  <si>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</si>
  <si>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</si>
  <si>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</si>
  <si>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</si>
  <si>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</si>
  <si>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</si>
  <si>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</si>
  <si>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</si>
  <si>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</si>
  <si>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</si>
  <si>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</si>
  <si>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</si>
  <si>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</si>
  <si>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</si>
  <si>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</si>
  <si>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</si>
  <si>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</si>
  <si>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</si>
  <si>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</si>
  <si>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</si>
  <si>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</si>
  <si>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</si>
  <si>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</si>
  <si>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</si>
  <si>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</si>
  <si>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</si>
  <si>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</si>
  <si>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</si>
  <si>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</si>
  <si>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</si>
  <si>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</si>
  <si>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</si>
  <si>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</si>
  <si>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</si>
  <si>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</si>
  <si>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</si>
  <si>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</si>
  <si>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</si>
  <si>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</si>
  <si>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</si>
  <si>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</si>
  <si>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</si>
  <si>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</si>
  <si>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</si>
  <si>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</si>
  <si>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</si>
  <si>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</si>
  <si>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</si>
  <si>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</si>
  <si>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</si>
  <si>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</si>
  <si>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</si>
  <si>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</si>
  <si>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</si>
  <si>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</si>
  <si>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</si>
  <si>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</si>
  <si>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</si>
  <si>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</si>
  <si>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</si>
  <si>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</si>
  <si>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</si>
  <si>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</si>
  <si>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</si>
  <si>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</si>
  <si>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</si>
  <si>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</si>
  <si>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</si>
  <si>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</si>
  <si>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</si>
  <si>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</si>
  <si>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</si>
  <si>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</si>
  <si>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</si>
  <si>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</si>
  <si>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</si>
  <si>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</si>
  <si>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</si>
  <si>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</si>
  <si>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</si>
  <si>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</si>
  <si>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</si>
  <si>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</si>
  <si>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</si>
  <si>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</si>
  <si>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</si>
  <si>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</si>
  <si>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</si>
  <si>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</si>
  <si>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</si>
  <si>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</si>
  <si>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</si>
  <si>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</si>
  <si>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</si>
  <si>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</si>
  <si>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</si>
  <si>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</si>
  <si>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</si>
  <si>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</si>
  <si>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</si>
  <si>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</si>
  <si>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</si>
  <si>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</si>
  <si>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</si>
  <si>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</si>
  <si>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</si>
  <si>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</si>
  <si>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</si>
  <si>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</si>
  <si>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</si>
  <si>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</si>
  <si>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</si>
  <si>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</si>
  <si>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</si>
  <si>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</si>
  <si>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</si>
  <si>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</si>
  <si>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</si>
  <si>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</si>
  <si>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</si>
  <si>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</si>
  <si>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</si>
  <si>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</si>
  <si>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</si>
  <si>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</si>
  <si>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</si>
  <si>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</si>
  <si>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</si>
  <si>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</si>
  <si>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</si>
  <si>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</si>
  <si>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</si>
  <si>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</si>
  <si>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</si>
  <si>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</si>
  <si>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</si>
  <si>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</si>
  <si>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</si>
  <si>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</si>
  <si>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</si>
  <si>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</si>
  <si>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</si>
  <si>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</si>
  <si>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</si>
  <si>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</si>
  <si>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</si>
  <si>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</si>
  <si>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</si>
  <si>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</si>
  <si>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</si>
  <si>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</si>
  <si>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</si>
  <si>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</si>
  <si>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</si>
  <si>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</si>
  <si>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</si>
  <si>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</si>
  <si>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</si>
  <si>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</si>
  <si>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</si>
  <si>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</si>
  <si>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</si>
  <si>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</si>
  <si>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</si>
  <si>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</si>
  <si>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</si>
  <si>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</si>
  <si>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</si>
  <si>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</si>
  <si>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</si>
  <si>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</si>
  <si>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</si>
  <si>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</si>
  <si>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</si>
  <si>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</si>
  <si>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</si>
  <si>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</si>
  <si>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</si>
  <si>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</si>
  <si>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</si>
  <si>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</si>
  <si>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</si>
  <si>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</si>
  <si>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</si>
  <si>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</si>
  <si>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</si>
  <si>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</si>
  <si>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</si>
  <si>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</si>
  <si>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</si>
  <si>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</si>
  <si>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</si>
  <si>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</si>
  <si>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</si>
  <si>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</si>
  <si>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</si>
  <si>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</si>
  <si>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</si>
  <si>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</si>
  <si>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</si>
  <si>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</si>
  <si>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</si>
  <si>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</si>
  <si>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</si>
  <si>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</si>
  <si>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</si>
  <si>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</si>
  <si>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</si>
  <si>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</si>
  <si>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</si>
  <si>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</si>
  <si>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</si>
  <si>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</si>
  <si>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</si>
  <si>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</si>
  <si>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</si>
  <si>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</si>
  <si>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</si>
  <si>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</si>
  <si>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</si>
  <si>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</si>
  <si>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</si>
  <si>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</si>
  <si>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</si>
  <si>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</si>
  <si>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</si>
  <si>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</si>
  <si>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</si>
  <si>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</si>
  <si>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</si>
  <si>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</si>
  <si>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</si>
  <si>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</si>
  <si>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</si>
  <si>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</si>
  <si>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</si>
  <si>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</si>
  <si>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</si>
  <si>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</si>
  <si>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</si>
  <si>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</si>
  <si>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</si>
  <si>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</si>
  <si>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</si>
  <si>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</si>
  <si>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</si>
  <si>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</si>
  <si>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</si>
  <si>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</si>
  <si>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</si>
  <si>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</si>
  <si>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</si>
  <si>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</si>
  <si>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</si>
  <si>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</si>
  <si>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</si>
  <si>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</si>
  <si>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</si>
  <si>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</si>
  <si>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</si>
  <si>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</si>
  <si>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</si>
  <si>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</si>
  <si>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</si>
  <si>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</si>
  <si>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</si>
  <si>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</si>
  <si>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</si>
  <si>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</si>
  <si>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</si>
  <si>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</si>
  <si>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</si>
  <si>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</si>
  <si>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</si>
  <si>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</si>
  <si>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</si>
  <si>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</si>
  <si>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</si>
  <si>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</si>
  <si>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</si>
  <si>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</si>
  <si>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</si>
  <si>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</si>
  <si>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</si>
  <si>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</si>
  <si>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</si>
  <si>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</si>
  <si>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</si>
  <si>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</si>
  <si>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</si>
  <si>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</si>
  <si>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</si>
  <si>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</si>
  <si>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</si>
  <si>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</si>
  <si>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</si>
  <si>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</si>
  <si>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</si>
  <si>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</si>
  <si>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</si>
  <si>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</si>
  <si>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</si>
  <si>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</si>
  <si>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</si>
  <si>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</si>
  <si>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</si>
  <si>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</si>
  <si>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</si>
  <si>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</si>
  <si>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</si>
  <si>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</si>
  <si>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</si>
  <si>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</si>
  <si>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</si>
  <si>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</si>
  <si>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</si>
  <si>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</si>
  <si>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</si>
  <si>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</si>
  <si>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</si>
  <si>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</si>
  <si>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</si>
  <si>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</si>
  <si>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</si>
  <si>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</si>
  <si>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</si>
  <si>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</si>
  <si>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</si>
  <si>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</si>
  <si>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</si>
  <si>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</si>
  <si>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</si>
  <si>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</si>
  <si>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</si>
  <si>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</si>
  <si>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</si>
  <si>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</si>
  <si>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</si>
  <si>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</si>
  <si>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</si>
  <si>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</si>
  <si>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</si>
  <si>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</si>
  <si>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</si>
  <si>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</si>
  <si>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</si>
  <si>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</si>
  <si>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</si>
  <si>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</si>
  <si>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</si>
  <si>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</si>
  <si>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</si>
  <si>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</si>
  <si>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</si>
  <si>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</si>
  <si>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</si>
  <si>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</si>
  <si>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</si>
  <si>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</si>
  <si>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</si>
  <si>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</si>
  <si>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</si>
  <si>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</si>
  <si>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</si>
  <si>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</si>
  <si>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</si>
  <si>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</si>
  <si>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</si>
  <si>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</si>
  <si>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</si>
  <si>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</si>
  <si>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</si>
  <si>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</si>
  <si>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</si>
  <si>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</si>
  <si>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</si>
  <si>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</si>
  <si>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</si>
  <si>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</si>
  <si>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</si>
  <si>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</si>
  <si>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</si>
  <si>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</si>
  <si>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</si>
  <si>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</si>
  <si>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</si>
  <si>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</si>
  <si>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</si>
  <si>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</si>
  <si>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</si>
  <si>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</si>
  <si>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</si>
  <si>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</si>
  <si>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</si>
  <si>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</si>
  <si>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</si>
  <si>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</si>
  <si>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</si>
  <si>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</si>
  <si>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</si>
  <si>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</si>
  <si>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</si>
  <si>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</si>
  <si>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</si>
  <si>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</si>
  <si>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</si>
  <si>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</si>
  <si>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</si>
  <si>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</si>
  <si>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</si>
  <si>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</si>
  <si>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</si>
  <si>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</si>
  <si>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</si>
  <si>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</si>
  <si>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</si>
  <si>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</si>
  <si>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</si>
  <si>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</si>
  <si>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</si>
  <si>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</si>
  <si>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</si>
  <si>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</si>
  <si>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</si>
  <si>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</si>
  <si>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</si>
  <si>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</si>
  <si>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</si>
  <si>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</si>
  <si>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</si>
  <si>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</si>
  <si>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</si>
  <si>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</si>
  <si>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</si>
  <si>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</si>
  <si>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</si>
  <si>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</si>
  <si>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</si>
  <si>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</si>
  <si>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</si>
  <si>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</si>
  <si>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</si>
  <si>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</si>
  <si>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</si>
  <si>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</si>
  <si>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</si>
  <si>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</si>
  <si>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</si>
  <si>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</si>
  <si>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</si>
  <si>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</si>
  <si>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</si>
  <si>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</si>
  <si>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</si>
  <si>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</si>
  <si>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</si>
  <si>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</si>
  <si>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</si>
  <si>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</si>
  <si>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</si>
  <si>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</si>
  <si>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</si>
  <si>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</si>
  <si>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</si>
  <si>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</si>
  <si>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</si>
  <si>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</si>
  <si>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</si>
  <si>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</si>
  <si>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</si>
  <si>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</si>
  <si>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</si>
  <si>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</si>
  <si>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</si>
  <si>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</si>
  <si>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</si>
  <si>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</si>
  <si>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</si>
  <si>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</si>
  <si>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</si>
  <si>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</si>
  <si>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</si>
  <si>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</si>
  <si>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</si>
  <si>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</si>
  <si>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</si>
  <si>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</si>
  <si>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</si>
  <si>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</si>
  <si>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</si>
  <si>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</si>
  <si>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</si>
  <si>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</si>
  <si>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</si>
  <si>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</si>
  <si>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</si>
  <si>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</si>
  <si>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</si>
  <si>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</si>
  <si>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</si>
  <si>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</si>
  <si>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</si>
  <si>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</si>
  <si>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</si>
  <si>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</si>
  <si>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</si>
  <si>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</si>
  <si>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</si>
  <si>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</si>
  <si>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</si>
  <si>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</si>
  <si>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</si>
  <si>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</si>
  <si>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</si>
  <si>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</si>
  <si>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</si>
  <si>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</si>
  <si>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</si>
  <si>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</si>
  <si>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</si>
  <si>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</si>
  <si>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</si>
  <si>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</si>
  <si>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</si>
  <si>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</si>
  <si>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</si>
  <si>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</si>
  <si>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</si>
  <si>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</si>
  <si>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</si>
  <si>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</si>
  <si>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</si>
  <si>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</si>
  <si>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</si>
  <si>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</si>
  <si>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</si>
  <si>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</si>
  <si>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</si>
  <si>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</si>
  <si>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</si>
  <si>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</si>
  <si>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</si>
  <si>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</si>
  <si>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</si>
  <si>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</si>
  <si>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</si>
  <si>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</si>
  <si>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</si>
  <si>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</si>
  <si>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</si>
  <si>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</si>
  <si>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</si>
  <si>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</si>
  <si>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</si>
  <si>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</si>
  <si>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</si>
  <si>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</si>
  <si>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</si>
  <si>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</si>
  <si>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</si>
  <si>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</si>
  <si>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</si>
  <si>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</si>
  <si>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</si>
  <si>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</si>
  <si>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</si>
  <si>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</si>
  <si>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</si>
  <si>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</si>
  <si>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</si>
  <si>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</si>
  <si>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</si>
  <si>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</si>
  <si>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</si>
  <si>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</si>
  <si>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</si>
  <si>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</si>
  <si>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</si>
  <si>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</si>
  <si>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</si>
  <si>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</si>
  <si>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</si>
  <si>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</si>
  <si>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</si>
  <si>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</si>
  <si>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</si>
  <si>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</si>
  <si>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</si>
  <si>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</si>
  <si>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</si>
  <si>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</si>
  <si>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</si>
  <si>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</si>
  <si>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</si>
  <si>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</si>
  <si>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</si>
  <si>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</si>
  <si>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</si>
  <si>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</si>
  <si>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</si>
  <si>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</si>
  <si>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</si>
  <si>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</si>
  <si>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</si>
  <si>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</si>
  <si>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</si>
  <si>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</si>
  <si>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</si>
  <si>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</si>
  <si>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</si>
  <si>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</si>
  <si>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</si>
  <si>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</si>
  <si>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</si>
  <si>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</si>
  <si>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</si>
  <si>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</si>
  <si>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</si>
  <si>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</si>
  <si>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</si>
  <si>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</si>
  <si>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</si>
  <si>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</si>
  <si>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</si>
  <si>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</si>
  <si>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</si>
  <si>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</si>
  <si>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</si>
  <si>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</si>
  <si>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</si>
  <si>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</si>
  <si>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</si>
  <si>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</si>
  <si>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</si>
  <si>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</si>
  <si>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</si>
  <si>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</si>
  <si>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</si>
  <si>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</si>
  <si>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</si>
  <si>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</si>
  <si>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</si>
  <si>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</si>
  <si>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</si>
  <si>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</si>
  <si>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</si>
  <si>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</si>
  <si>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</si>
  <si>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</si>
  <si>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</si>
  <si>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</si>
  <si>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</si>
  <si>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</si>
  <si>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</si>
  <si>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</si>
  <si>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</si>
  <si>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</si>
  <si>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</si>
  <si>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</si>
  <si>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</si>
  <si>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</si>
  <si>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</si>
  <si>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</si>
  <si>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</si>
  <si>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</si>
  <si>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</si>
  <si>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</si>
  <si>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</si>
  <si>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</si>
  <si>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</si>
  <si>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</si>
  <si>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</si>
  <si>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</si>
  <si>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</si>
  <si>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</si>
  <si>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</si>
  <si>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</si>
  <si>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</si>
  <si>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</si>
  <si>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</si>
  <si>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</si>
  <si>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</si>
  <si>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</si>
  <si>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</si>
  <si>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</si>
  <si>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</si>
  <si>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</si>
  <si>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</si>
  <si>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</si>
  <si>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</si>
  <si>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</si>
  <si>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</si>
  <si>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</si>
  <si>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</si>
  <si>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</si>
  <si>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</si>
  <si>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</si>
  <si>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</si>
  <si>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</si>
  <si>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</si>
  <si>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</si>
  <si>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</si>
  <si>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</si>
  <si>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</si>
  <si>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</si>
  <si>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</si>
  <si>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</si>
  <si>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</si>
  <si>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</si>
  <si>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</si>
  <si>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</si>
  <si>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</si>
  <si>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</si>
  <si>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</si>
  <si>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</si>
  <si>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</si>
  <si>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</si>
  <si>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</si>
  <si>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</si>
  <si>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</si>
  <si>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</si>
  <si>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</si>
  <si>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</si>
  <si>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</si>
  <si>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</si>
  <si>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</si>
  <si>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</si>
  <si>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</si>
  <si>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</si>
  <si>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</si>
  <si>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</si>
  <si>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</si>
  <si>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</si>
  <si>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</si>
  <si>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</si>
  <si>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</si>
  <si>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</si>
  <si>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</si>
  <si>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</si>
  <si>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</si>
  <si>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</si>
  <si>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</si>
  <si>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</si>
  <si>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</si>
  <si>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</si>
  <si>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</si>
  <si>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</si>
  <si>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</si>
  <si>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</si>
  <si>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</si>
  <si>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</si>
  <si>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</si>
  <si>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</si>
  <si>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</si>
  <si>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</si>
  <si>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</si>
  <si>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</si>
  <si>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</si>
  <si>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</si>
  <si>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</si>
  <si>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</si>
  <si>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</si>
  <si>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</si>
  <si>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</si>
  <si>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</si>
  <si>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</si>
  <si>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</si>
  <si>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</si>
  <si>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</si>
  <si>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</si>
  <si>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</si>
  <si>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</si>
  <si>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</si>
  <si>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</si>
  <si>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</si>
  <si>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</si>
  <si>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</si>
  <si>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</si>
  <si>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</si>
  <si>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</si>
  <si>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</si>
  <si>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</si>
  <si>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</si>
  <si>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</si>
  <si>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</si>
  <si>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</si>
  <si>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</si>
  <si>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</si>
  <si>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</si>
  <si>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</si>
  <si>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</si>
  <si>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</si>
  <si>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</si>
  <si>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</si>
  <si>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</si>
  <si>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</si>
  <si>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</si>
  <si>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</si>
  <si>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</si>
  <si>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</si>
  <si>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</si>
  <si>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</si>
  <si>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</si>
  <si>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</si>
  <si>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</si>
  <si>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</si>
  <si>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</si>
  <si>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</si>
  <si>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</si>
  <si>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</si>
  <si>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</si>
  <si>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</si>
  <si>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</si>
  <si>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</si>
  <si>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</si>
  <si>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</si>
  <si>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</si>
  <si>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</si>
  <si>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</si>
  <si>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</si>
  <si>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</si>
  <si>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</si>
  <si>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</si>
  <si>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</si>
  <si>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</si>
  <si>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</si>
  <si>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</si>
  <si>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</si>
  <si>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</si>
  <si>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</si>
  <si>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</si>
  <si>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</si>
  <si>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</si>
  <si>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</si>
  <si>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</si>
  <si>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</si>
  <si>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</si>
  <si>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</si>
  <si>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</si>
  <si>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</si>
  <si>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</si>
  <si>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</si>
  <si>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</si>
  <si>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</si>
  <si>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</si>
  <si>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</si>
  <si>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</si>
  <si>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</si>
  <si>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</si>
  <si>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</si>
  <si>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</si>
  <si>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</si>
  <si>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</si>
  <si>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</si>
  <si>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</si>
  <si>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</si>
  <si>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</si>
  <si>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</si>
  <si>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</si>
  <si>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</si>
  <si>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</si>
  <si>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</si>
  <si>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</si>
  <si>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</si>
  <si>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</si>
  <si>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</si>
  <si>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</si>
  <si>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</si>
  <si>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</si>
  <si>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</si>
  <si>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</si>
  <si>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</si>
  <si>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</si>
  <si>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</si>
  <si>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</si>
  <si>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</si>
  <si>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</si>
  <si>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</si>
  <si>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</si>
  <si>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</si>
  <si>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</si>
  <si>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</si>
  <si>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</si>
  <si>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</si>
  <si>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</si>
  <si>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</si>
  <si>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</si>
  <si>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</si>
  <si>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</si>
  <si>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</si>
  <si>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</si>
  <si>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</si>
  <si>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</si>
  <si>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</si>
  <si>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</si>
  <si>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</si>
  <si>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</si>
  <si>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</si>
  <si>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</si>
  <si>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</si>
  <si>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</si>
  <si>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</si>
  <si>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</si>
  <si>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</si>
  <si>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</si>
  <si>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</si>
  <si>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</si>
  <si>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</si>
  <si>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</si>
  <si>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</si>
  <si>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</si>
  <si>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</si>
  <si>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</si>
  <si>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</si>
  <si>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</si>
  <si>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</si>
  <si>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</si>
  <si>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</si>
  <si>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</si>
  <si>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</si>
  <si>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</si>
  <si>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</si>
  <si>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</si>
  <si>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</si>
  <si>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</si>
  <si>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</si>
  <si>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</si>
  <si>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</si>
  <si>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</si>
  <si>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</si>
  <si>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</si>
  <si>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</si>
  <si>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</si>
  <si>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</si>
  <si>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</si>
  <si>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</si>
  <si>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</si>
  <si>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</si>
  <si>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</si>
  <si>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</si>
  <si>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</si>
  <si>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</si>
  <si>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</si>
  <si>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</si>
  <si>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</si>
  <si>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</si>
  <si>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</si>
  <si>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</si>
  <si>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</si>
  <si>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</si>
  <si>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</si>
  <si>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</si>
  <si>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</si>
  <si>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</si>
  <si>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</si>
  <si>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</si>
  <si>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</si>
  <si>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</si>
  <si>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</si>
  <si>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</si>
  <si>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</si>
  <si>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</si>
  <si>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</si>
  <si>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</si>
  <si>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</si>
  <si>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</si>
  <si>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</si>
  <si>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</si>
  <si>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</si>
  <si>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</si>
  <si>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</si>
  <si>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</si>
  <si>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</si>
  <si>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</si>
  <si>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</si>
  <si>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</si>
  <si>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</si>
  <si>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</si>
  <si>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</si>
  <si>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</si>
  <si>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</si>
  <si>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</si>
  <si>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</si>
  <si>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</si>
  <si>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</si>
  <si>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</si>
  <si>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</si>
  <si>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</si>
  <si>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</si>
  <si>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</si>
  <si>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</si>
  <si>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</si>
  <si>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</si>
  <si>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</si>
  <si>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</si>
  <si>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</si>
  <si>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</si>
  <si>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</si>
  <si>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</si>
  <si>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</si>
  <si>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</si>
  <si>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</si>
  <si>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</si>
  <si>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</si>
  <si>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</si>
  <si>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</si>
  <si>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</si>
  <si>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</si>
  <si>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</si>
  <si>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</si>
  <si>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</si>
  <si>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</si>
  <si>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</si>
  <si>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</si>
  <si>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</si>
  <si>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</si>
  <si>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</si>
  <si>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</si>
  <si>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</si>
  <si>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</si>
  <si>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</si>
  <si>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</si>
  <si>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</si>
  <si>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</si>
  <si>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</si>
  <si>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</si>
  <si>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</si>
  <si>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</si>
  <si>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</si>
  <si>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</si>
  <si>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</si>
  <si>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</si>
  <si>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</si>
  <si>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</si>
  <si>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</si>
  <si>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</si>
  <si>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</si>
  <si>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</si>
  <si>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</si>
  <si>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</si>
  <si>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</si>
  <si>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</si>
  <si>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</si>
  <si>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</si>
  <si>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</si>
  <si>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</si>
  <si>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</si>
  <si>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</si>
  <si>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</si>
  <si>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</si>
  <si>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</si>
  <si>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</si>
  <si>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</si>
  <si>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</si>
  <si>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</si>
  <si>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</si>
  <si>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</si>
  <si>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</si>
  <si>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</si>
  <si>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</si>
  <si>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</si>
  <si>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</si>
  <si>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</si>
  <si>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</si>
  <si>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</si>
  <si>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</si>
  <si>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</si>
  <si>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</si>
  <si>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</si>
  <si>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</si>
  <si>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</si>
  <si>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</si>
  <si>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</si>
  <si>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</si>
  <si>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</si>
  <si>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</si>
  <si>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</si>
  <si>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</si>
  <si>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</si>
  <si>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</si>
  <si>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</si>
  <si>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</si>
  <si>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</si>
  <si>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</si>
  <si>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</si>
  <si>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</si>
  <si>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</si>
  <si>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</si>
  <si>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</si>
  <si>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</si>
  <si>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</si>
  <si>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</si>
  <si>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</si>
  <si>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</si>
  <si>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</si>
  <si>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</si>
  <si>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</si>
  <si>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</si>
  <si>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</si>
  <si>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</si>
  <si>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</si>
  <si>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</si>
  <si>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</si>
  <si>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</si>
  <si>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</si>
  <si>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</si>
  <si>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</si>
  <si>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</si>
  <si>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</si>
  <si>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</si>
  <si>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</si>
  <si>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</si>
  <si>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</si>
  <si>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</si>
  <si>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</si>
  <si>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</si>
  <si>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</si>
  <si>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</si>
  <si>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</si>
  <si>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</si>
  <si>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</si>
  <si>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</si>
  <si>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</si>
  <si>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</si>
  <si>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</si>
  <si>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</si>
  <si>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</si>
  <si>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</si>
  <si>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</si>
  <si>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</si>
  <si>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</si>
  <si>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</si>
  <si>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</si>
  <si>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</si>
  <si>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</si>
  <si>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</si>
  <si>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</si>
  <si>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</si>
  <si>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</si>
  <si>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</si>
  <si>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</si>
  <si>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</si>
  <si>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</si>
  <si>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</si>
  <si>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</si>
  <si>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</si>
  <si>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</si>
  <si>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</si>
  <si>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</si>
  <si>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</si>
  <si>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</si>
  <si>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</si>
  <si>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</si>
  <si>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</si>
  <si>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</si>
  <si>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</si>
  <si>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</si>
  <si>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</si>
  <si>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</si>
  <si>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</si>
  <si>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</si>
  <si>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</si>
  <si>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</si>
  <si>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</si>
  <si>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</si>
  <si>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</si>
  <si>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</si>
  <si>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</si>
  <si>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</si>
  <si>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</si>
  <si>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</si>
  <si>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</si>
  <si>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</si>
  <si>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</si>
  <si>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</si>
  <si>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</si>
  <si>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</si>
  <si>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</si>
  <si>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</si>
  <si>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</si>
  <si>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</si>
  <si>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</si>
  <si>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</si>
  <si>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</si>
  <si>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</si>
  <si>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</si>
  <si>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</si>
  <si>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</si>
  <si>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</si>
  <si>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</si>
  <si>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</si>
  <si>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</si>
  <si>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</si>
  <si>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</si>
  <si>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</si>
  <si>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</si>
  <si>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</si>
  <si>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</si>
  <si>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</si>
  <si>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</si>
  <si>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</si>
  <si>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</si>
  <si>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</si>
  <si>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</si>
  <si>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</si>
  <si>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</si>
  <si>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</si>
  <si>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</si>
  <si>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</si>
  <si>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</si>
  <si>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</si>
  <si>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</si>
  <si>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</si>
  <si>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</si>
  <si>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</si>
  <si>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</si>
  <si>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</si>
  <si>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</si>
  <si>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</si>
  <si>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</si>
  <si>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</si>
  <si>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</si>
  <si>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</si>
  <si>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</si>
  <si>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</si>
  <si>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</si>
  <si>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</si>
  <si>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</si>
  <si>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</si>
  <si>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</si>
  <si>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</si>
  <si>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</si>
  <si>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</si>
  <si>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</si>
  <si>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</si>
  <si>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</si>
  <si>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</si>
  <si>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</si>
  <si>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</si>
  <si>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</si>
  <si>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</si>
  <si>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</si>
  <si>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</si>
  <si>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</si>
  <si>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</si>
  <si>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</si>
  <si>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</si>
  <si>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</si>
  <si>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</si>
  <si>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</si>
  <si>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</si>
  <si>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</si>
  <si>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</si>
  <si>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</si>
  <si>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</si>
  <si>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</si>
  <si>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</si>
  <si>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</si>
  <si>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</si>
  <si>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</si>
  <si>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</si>
  <si>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</si>
  <si>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</si>
  <si>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</si>
  <si>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</si>
  <si>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</si>
  <si>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</si>
  <si>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</si>
  <si>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</si>
  <si>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</si>
  <si>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</si>
  <si>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</si>
  <si>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</si>
  <si>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</si>
  <si>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</si>
  <si>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</si>
  <si>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</si>
  <si>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</si>
  <si>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</si>
  <si>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</si>
  <si>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</si>
  <si>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</si>
  <si>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</si>
  <si>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</si>
  <si>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</si>
  <si>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</si>
  <si>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</si>
  <si>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</si>
  <si>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</si>
  <si>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</si>
  <si>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</si>
  <si>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</si>
  <si>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</si>
  <si>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</si>
  <si>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</si>
  <si>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</si>
  <si>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</si>
  <si>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</si>
  <si>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</si>
  <si>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</si>
  <si>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</si>
  <si>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</si>
  <si>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</si>
  <si>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</si>
  <si>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</si>
  <si>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</si>
  <si>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</si>
  <si>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</si>
  <si>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</si>
  <si>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</si>
  <si>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</si>
  <si>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</si>
  <si>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</si>
  <si>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</si>
  <si>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</si>
  <si>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</si>
  <si>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</si>
  <si>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</si>
  <si>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</si>
  <si>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</si>
  <si>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</si>
  <si>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</si>
  <si>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</si>
  <si>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</si>
  <si>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</si>
  <si>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</si>
  <si>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</si>
  <si>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</si>
  <si>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</si>
  <si>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</si>
  <si>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</si>
  <si>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</si>
  <si>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</si>
  <si>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</si>
  <si>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</si>
  <si>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</si>
  <si>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</si>
  <si>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</si>
  <si>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</si>
  <si>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</si>
  <si>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</si>
  <si>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</si>
  <si>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</si>
  <si>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</si>
  <si>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</si>
  <si>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</si>
  <si>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</si>
  <si>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</si>
  <si>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</si>
  <si>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</si>
  <si>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</si>
  <si>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</si>
  <si>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</si>
  <si>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</si>
  <si>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</si>
  <si>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</si>
  <si>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</si>
  <si>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</si>
  <si>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</si>
  <si>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</si>
  <si>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</si>
  <si>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</si>
  <si>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</si>
  <si>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</si>
  <si>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</si>
  <si>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</si>
  <si>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</si>
  <si>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</si>
  <si>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</si>
  <si>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</si>
  <si>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</si>
  <si>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</si>
  <si>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</si>
  <si>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</si>
  <si>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</si>
  <si>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</si>
  <si>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</si>
  <si>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</si>
  <si>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</si>
  <si>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</si>
  <si>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</si>
  <si>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</si>
  <si>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</si>
  <si>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</si>
  <si>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</si>
  <si>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</si>
  <si>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</si>
  <si>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</si>
  <si>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</si>
  <si>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</si>
  <si>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</si>
  <si>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</si>
  <si>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</si>
  <si>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</si>
  <si>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</si>
  <si>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</si>
  <si>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</si>
  <si>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</si>
  <si>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</si>
  <si>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</si>
  <si>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</si>
  <si>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</si>
  <si>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</si>
  <si>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</si>
  <si>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</si>
  <si>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</si>
  <si>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</si>
  <si>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</si>
  <si>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</si>
  <si>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</si>
  <si>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</si>
  <si>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</si>
  <si>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</si>
  <si>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</si>
  <si>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</si>
  <si>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</si>
  <si>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</si>
  <si>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</si>
  <si>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</si>
  <si>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</si>
  <si>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</si>
  <si>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</si>
  <si>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</si>
  <si>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</si>
  <si>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</si>
  <si>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</si>
  <si>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</si>
  <si>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</si>
  <si>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</si>
  <si>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</si>
  <si>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</si>
  <si>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</si>
  <si>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</si>
  <si>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</si>
  <si>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</si>
  <si>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</si>
  <si>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</si>
  <si>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</si>
  <si>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</si>
  <si>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</si>
  <si>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</si>
  <si>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</si>
  <si>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</si>
  <si>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</si>
  <si>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</si>
  <si>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</si>
  <si>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</si>
  <si>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</si>
  <si>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</si>
  <si>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</si>
  <si>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</si>
  <si>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</si>
  <si>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</si>
  <si>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</si>
  <si>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</si>
  <si>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</si>
  <si>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</si>
  <si>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</si>
  <si>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</si>
  <si>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</si>
  <si>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</si>
  <si>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</si>
  <si>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</si>
  <si>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</si>
  <si>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</si>
  <si>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</si>
  <si>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</si>
  <si>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</si>
  <si>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</si>
  <si>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</si>
  <si>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</si>
  <si>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</si>
  <si>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</si>
  <si>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</si>
  <si>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</si>
  <si>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</si>
  <si>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</si>
  <si>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</si>
  <si>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</si>
  <si>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</si>
  <si>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</si>
  <si>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</si>
  <si>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</si>
  <si>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</si>
  <si>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</si>
  <si>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</si>
  <si>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</si>
  <si>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</si>
  <si>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</si>
  <si>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</si>
  <si>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</si>
  <si>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</si>
  <si>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</si>
  <si>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</si>
  <si>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</si>
  <si>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</si>
  <si>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</si>
  <si>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</si>
  <si>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</si>
  <si>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</si>
  <si>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</si>
  <si>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</si>
  <si>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</si>
  <si>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</si>
  <si>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</si>
  <si>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</si>
  <si>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</si>
  <si>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</si>
  <si>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</si>
  <si>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</si>
  <si>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</si>
  <si>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</si>
  <si>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</si>
  <si>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</si>
  <si>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</si>
  <si>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</si>
  <si>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</si>
  <si>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</si>
  <si>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</si>
  <si>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</si>
  <si>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</si>
  <si>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</si>
  <si>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</si>
  <si>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</si>
  <si>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</si>
  <si>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</si>
  <si>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</si>
  <si>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</si>
  <si>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</si>
  <si>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</si>
  <si>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</si>
  <si>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</si>
  <si>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</si>
  <si>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</si>
  <si>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</si>
  <si>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</si>
  <si>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</si>
  <si>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</si>
  <si>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</si>
  <si>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</si>
  <si>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</si>
  <si>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</si>
  <si>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</si>
  <si>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</si>
  <si>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</si>
  <si>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</si>
  <si>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</si>
  <si>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</si>
  <si>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</si>
  <si>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</si>
  <si>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</si>
  <si>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</si>
  <si>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</si>
  <si>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</si>
  <si>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</si>
  <si>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</si>
  <si>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</si>
  <si>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</si>
  <si>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</si>
  <si>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</si>
  <si>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</si>
  <si>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</si>
  <si>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</si>
  <si>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</si>
  <si>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</si>
  <si>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</si>
  <si>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</si>
  <si>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</si>
  <si>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</si>
  <si>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</si>
  <si>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</si>
  <si>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</si>
  <si>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</si>
  <si>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</si>
  <si>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</si>
  <si>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</si>
  <si>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</si>
  <si>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</si>
  <si>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</si>
  <si>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</si>
  <si>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</si>
  <si>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</si>
  <si>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</si>
  <si>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</si>
  <si>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</si>
  <si>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</si>
  <si>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</si>
  <si>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</si>
  <si>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</si>
  <si>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</si>
  <si>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</si>
  <si>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</si>
  <si>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</si>
  <si>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</si>
  <si>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</si>
  <si>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</si>
  <si>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</si>
  <si>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</si>
  <si>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</si>
  <si>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</si>
  <si>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</si>
  <si>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</si>
  <si>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</si>
  <si>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</si>
  <si>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</si>
  <si>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</si>
  <si>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</si>
  <si>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</si>
  <si>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</si>
  <si>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</si>
  <si>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</si>
  <si>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</si>
  <si>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</si>
  <si>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</si>
  <si>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</si>
  <si>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</si>
  <si>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</si>
  <si>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</si>
  <si>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</si>
  <si>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</si>
  <si>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</si>
  <si>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</si>
  <si>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</si>
  <si>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</si>
  <si>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</si>
  <si>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</si>
  <si>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</si>
  <si>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</si>
  <si>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</si>
  <si>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</si>
  <si>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</si>
  <si>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</si>
  <si>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</si>
  <si>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</si>
  <si>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</si>
  <si>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</si>
  <si>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</si>
  <si>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</si>
  <si>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</si>
  <si>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</si>
  <si>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</si>
  <si>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</si>
  <si>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</si>
  <si>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</si>
  <si>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</si>
  <si>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</si>
  <si>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</si>
  <si>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</si>
  <si>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</si>
  <si>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</si>
  <si>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</si>
  <si>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</si>
  <si>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</si>
  <si>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</si>
  <si>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</si>
  <si>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</si>
  <si>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</si>
  <si>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</si>
  <si>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</si>
  <si>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</si>
  <si>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</si>
  <si>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</si>
  <si>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</si>
  <si>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</si>
  <si>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</si>
  <si>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</si>
  <si>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</si>
  <si>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</si>
  <si>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</si>
  <si>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</si>
  <si>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</si>
  <si>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</si>
  <si>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</si>
  <si>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</si>
  <si>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</si>
  <si>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</si>
  <si>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</si>
  <si>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</si>
  <si>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</si>
  <si>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</si>
  <si>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</si>
  <si>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</si>
  <si>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</si>
  <si>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</si>
  <si>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</si>
  <si>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</si>
  <si>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</si>
  <si>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</si>
  <si>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</si>
  <si>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</si>
  <si>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</si>
  <si>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</si>
  <si>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</si>
  <si>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</si>
  <si>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</si>
  <si>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</si>
  <si>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</si>
  <si>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</si>
  <si>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</si>
  <si>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</si>
  <si>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</si>
  <si>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</si>
  <si>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</si>
  <si>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</si>
  <si>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</si>
  <si>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</si>
  <si>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</si>
  <si>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</si>
  <si>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</si>
  <si>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</si>
  <si>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</si>
  <si>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</si>
  <si>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</si>
  <si>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</si>
  <si>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</si>
  <si>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</si>
  <si>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</si>
  <si>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</si>
  <si>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</si>
  <si>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</si>
  <si>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</si>
  <si>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</si>
  <si>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</si>
  <si>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</si>
  <si>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</si>
  <si>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</si>
  <si>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</si>
  <si>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</si>
  <si>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</si>
  <si>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</si>
  <si>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</si>
  <si>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</si>
  <si>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</si>
  <si>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</si>
  <si>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</si>
  <si>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</si>
  <si>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</si>
  <si>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</si>
  <si>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</si>
  <si>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</si>
  <si>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</si>
  <si>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</si>
  <si>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</si>
  <si>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</si>
  <si>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</si>
  <si>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</si>
  <si>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</si>
  <si>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</si>
  <si>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</si>
  <si>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</si>
  <si>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</si>
  <si>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</si>
  <si>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</si>
  <si>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</si>
  <si>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</si>
  <si>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</si>
  <si>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</si>
  <si>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</si>
  <si>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</si>
  <si>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</si>
  <si>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</si>
  <si>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</si>
  <si>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</si>
  <si>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</si>
  <si>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</si>
  <si>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</si>
  <si>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</si>
  <si>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</si>
  <si>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</si>
  <si>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</si>
  <si>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</si>
  <si>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</si>
  <si>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</si>
  <si>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</si>
  <si>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</si>
  <si>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</si>
  <si>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</si>
  <si>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</si>
  <si>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</si>
  <si>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</si>
  <si>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</si>
  <si>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</si>
  <si>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</si>
  <si>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</si>
  <si>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</si>
  <si>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</si>
  <si>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</si>
  <si>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</si>
  <si>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</si>
  <si>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</si>
  <si>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</si>
  <si>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</si>
  <si>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</si>
  <si>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</si>
  <si>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</si>
  <si>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</si>
  <si>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</si>
  <si>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</si>
  <si>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</si>
  <si>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</si>
  <si>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</si>
  <si>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</si>
  <si>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</si>
  <si>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</si>
  <si>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</si>
  <si>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</si>
  <si>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</si>
  <si>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</si>
  <si>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</si>
  <si>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</si>
  <si>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</si>
  <si>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</si>
  <si>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</si>
  <si>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</si>
  <si>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</si>
  <si>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</si>
  <si>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</si>
  <si>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</si>
  <si>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</si>
  <si>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</si>
  <si>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</si>
  <si>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</si>
  <si>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</si>
  <si>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</si>
  <si>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</si>
  <si>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</si>
  <si>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</si>
  <si>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</si>
  <si>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</si>
  <si>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</si>
  <si>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</si>
  <si>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</si>
  <si>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</si>
  <si>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</si>
  <si>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</si>
  <si>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</si>
  <si>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</si>
  <si>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</si>
  <si>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</si>
  <si>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</si>
  <si>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</si>
  <si>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</si>
  <si>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</si>
  <si>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</si>
  <si>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</si>
  <si>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</si>
  <si>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</si>
  <si>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</si>
  <si>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</si>
  <si>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</si>
  <si>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</si>
  <si>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</si>
  <si>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</si>
  <si>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</si>
  <si>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</si>
  <si>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</si>
  <si>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</si>
  <si>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</si>
  <si>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</si>
  <si>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</si>
  <si>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</si>
  <si>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</si>
  <si>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</si>
  <si>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</si>
  <si>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</si>
  <si>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</si>
  <si>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</si>
  <si>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</si>
  <si>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</si>
  <si>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</si>
  <si>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</si>
  <si>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</si>
  <si>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</si>
  <si>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</si>
  <si>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</si>
  <si>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</si>
  <si>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</si>
  <si>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</si>
  <si>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</si>
  <si>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</si>
  <si>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</si>
  <si>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</si>
  <si>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</si>
  <si>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</si>
  <si>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</si>
  <si>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</si>
  <si>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</si>
  <si>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</si>
  <si>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</si>
  <si>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</si>
  <si>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</si>
  <si>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</si>
  <si>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</si>
  <si>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</si>
  <si>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</si>
  <si>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</si>
  <si>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</si>
  <si>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</si>
  <si>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</si>
  <si>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</si>
  <si>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</si>
  <si>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</si>
  <si>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</si>
  <si>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</si>
  <si>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</si>
  <si>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</si>
  <si>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</si>
  <si>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</si>
  <si>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</si>
  <si>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</si>
  <si>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</si>
  <si>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</si>
  <si>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</si>
  <si>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</si>
  <si>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</si>
  <si>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</si>
  <si>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</si>
  <si>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</si>
  <si>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</si>
  <si>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</si>
  <si>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</si>
  <si>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</si>
  <si>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</si>
  <si>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</si>
  <si>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</si>
  <si>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</si>
  <si>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</si>
  <si>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</si>
  <si>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</si>
  <si>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</si>
  <si>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</si>
  <si>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</si>
  <si>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</si>
  <si>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</si>
  <si>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</si>
  <si>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</si>
  <si>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</si>
  <si>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</si>
  <si>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</si>
  <si>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</si>
  <si>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</si>
  <si>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</si>
  <si>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</si>
  <si>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</si>
  <si>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</si>
  <si>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</si>
  <si>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</si>
  <si>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</si>
  <si>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</si>
  <si>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</si>
  <si>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</si>
  <si>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</si>
  <si>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</si>
  <si>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</si>
  <si>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</si>
  <si>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</si>
  <si>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</si>
  <si>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</si>
  <si>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</si>
  <si>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</si>
  <si>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</si>
  <si>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</si>
  <si>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</si>
  <si>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</si>
  <si>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</si>
  <si>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</si>
  <si>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</si>
  <si>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</si>
  <si>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</si>
  <si>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</si>
  <si>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</si>
  <si>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</si>
  <si>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</si>
  <si>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</si>
  <si>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</si>
  <si>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</si>
  <si>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</si>
  <si>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</si>
  <si>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</si>
  <si>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</si>
  <si>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</si>
  <si>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</si>
  <si>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</si>
  <si>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</si>
  <si>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</si>
  <si>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</si>
  <si>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</si>
  <si>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</si>
  <si>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</si>
  <si>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</si>
  <si>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</si>
  <si>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</si>
  <si>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</si>
  <si>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</si>
  <si>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</si>
  <si>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</si>
  <si>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</si>
  <si>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</si>
  <si>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</si>
  <si>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</si>
  <si>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</si>
  <si>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</si>
  <si>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</si>
  <si>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</si>
  <si>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</si>
  <si>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</si>
  <si>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</si>
  <si>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</si>
  <si>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</si>
  <si>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</si>
  <si>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</si>
  <si>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</si>
  <si>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</si>
  <si>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</si>
  <si>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</si>
  <si>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</si>
  <si>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</si>
  <si>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</si>
  <si>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</si>
  <si>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</si>
  <si>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</si>
  <si>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</si>
  <si>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</si>
  <si>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</si>
  <si>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</si>
  <si>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</si>
  <si>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</si>
  <si>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</si>
  <si>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</si>
  <si>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</si>
  <si>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</si>
  <si>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</si>
  <si>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</si>
  <si>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</si>
  <si>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</si>
  <si>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</si>
  <si>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</si>
  <si>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</si>
  <si>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</si>
  <si>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</si>
  <si>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</si>
  <si>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</si>
  <si>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</si>
  <si>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</si>
  <si>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</si>
  <si>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</si>
  <si>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</si>
  <si>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</si>
  <si>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</si>
  <si>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</si>
  <si>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</si>
  <si>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</si>
  <si>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</si>
  <si>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</si>
  <si>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</si>
  <si>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</si>
  <si>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</si>
  <si>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</si>
  <si>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</si>
  <si>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</si>
  <si>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</si>
  <si>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</si>
  <si>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</si>
  <si>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</si>
  <si>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</si>
  <si>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</si>
  <si>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</si>
  <si>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</si>
  <si>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</si>
  <si>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</si>
  <si>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</si>
  <si>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</si>
  <si>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</si>
  <si>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</si>
  <si>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</si>
  <si>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</si>
  <si>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</si>
  <si>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</si>
  <si>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</si>
  <si>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</si>
  <si>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</si>
  <si>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</si>
  <si>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</si>
  <si>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</si>
  <si>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</si>
  <si>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</si>
  <si>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</si>
  <si>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</si>
  <si>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</si>
  <si>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</si>
  <si>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</si>
  <si>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</si>
  <si>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</si>
  <si>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</si>
  <si>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</si>
  <si>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</si>
  <si>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</si>
  <si>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</si>
  <si>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</si>
  <si>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</si>
  <si>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</si>
  <si>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</si>
  <si>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</si>
  <si>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</si>
  <si>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</si>
  <si>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</si>
  <si>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</si>
  <si>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</si>
  <si>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</si>
  <si>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</si>
  <si>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</si>
  <si>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</si>
  <si>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</si>
  <si>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</si>
  <si>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</si>
  <si>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</si>
  <si>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</si>
  <si>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</si>
  <si>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</si>
  <si>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</si>
  <si>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</si>
  <si>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</si>
  <si>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</si>
  <si>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</si>
  <si>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</si>
  <si>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</si>
  <si>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</si>
  <si>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</si>
  <si>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</si>
  <si>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</si>
  <si>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</si>
  <si>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</si>
  <si>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</si>
  <si>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</si>
  <si>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</si>
  <si>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</si>
  <si>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</si>
  <si>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</si>
  <si>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</si>
  <si>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</si>
  <si>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</si>
  <si>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</si>
  <si>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</si>
  <si>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</si>
  <si>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</si>
  <si>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</si>
  <si>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</si>
  <si>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</si>
  <si>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</si>
  <si>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</si>
  <si>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</si>
  <si>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</si>
  <si>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</si>
  <si>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</si>
  <si>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</si>
  <si>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</si>
  <si>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</si>
  <si>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</si>
  <si>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</si>
  <si>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</si>
  <si>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</si>
  <si>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</si>
  <si>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</si>
  <si>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</si>
  <si>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</si>
  <si>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</si>
  <si>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</si>
  <si>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</si>
  <si>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</si>
  <si>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</si>
  <si>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</si>
  <si>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</si>
  <si>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</si>
  <si>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</si>
  <si>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</si>
  <si>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</si>
  <si>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</si>
  <si>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</si>
  <si>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</si>
  <si>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</si>
  <si>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</si>
  <si>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</si>
  <si>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</si>
  <si>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</si>
  <si>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</si>
  <si>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</si>
  <si>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</si>
  <si>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</si>
  <si>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</si>
  <si>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</si>
  <si>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</si>
  <si>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</si>
  <si>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</si>
  <si>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</si>
  <si>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</si>
  <si>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</si>
  <si>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</si>
  <si>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</si>
  <si>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</si>
  <si>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</si>
  <si>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</si>
  <si>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</si>
  <si>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</si>
  <si>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</si>
  <si>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</si>
  <si>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</si>
  <si>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</si>
  <si>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</si>
  <si>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</si>
  <si>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</si>
  <si>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</si>
  <si>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</si>
  <si>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</si>
  <si>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</si>
  <si>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</si>
  <si>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</si>
  <si>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</si>
  <si>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</si>
  <si>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</si>
  <si>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</si>
  <si>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</si>
  <si>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</si>
  <si>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</si>
  <si>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</si>
  <si>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</si>
  <si>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</si>
  <si>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</si>
  <si>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</si>
  <si>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</si>
  <si>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</si>
  <si>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</si>
  <si>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</si>
  <si>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</si>
  <si>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</si>
  <si>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</si>
  <si>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</si>
  <si>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</si>
  <si>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</si>
  <si>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</si>
  <si>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</si>
  <si>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</si>
  <si>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</si>
  <si>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</si>
  <si>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</si>
  <si>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</si>
  <si>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</si>
  <si>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</si>
  <si>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</si>
  <si>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</si>
  <si>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</si>
  <si>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</si>
  <si>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</si>
  <si>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</si>
  <si>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</si>
  <si>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</si>
  <si>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</si>
  <si>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</si>
  <si>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</si>
  <si>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</si>
  <si>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</si>
  <si>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</si>
  <si>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</si>
  <si>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</si>
  <si>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</si>
  <si>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</si>
  <si>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</si>
  <si>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</si>
  <si>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</si>
  <si>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</si>
  <si>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</si>
  <si>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</si>
  <si>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</si>
  <si>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</si>
  <si>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</si>
  <si>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</si>
  <si>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</si>
  <si>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</si>
  <si>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</si>
  <si>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</si>
  <si>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</si>
  <si>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</si>
  <si>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</si>
  <si>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</si>
  <si>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</si>
  <si>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</si>
  <si>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</si>
  <si>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</si>
  <si>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</si>
  <si>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</si>
  <si>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</si>
  <si>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</si>
  <si>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</si>
  <si>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</si>
  <si>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</si>
  <si>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</si>
  <si>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</si>
  <si>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</si>
  <si>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</si>
  <si>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</si>
  <si>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</si>
  <si>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</si>
  <si>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</si>
  <si>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</si>
  <si>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</si>
  <si>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</si>
  <si>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</si>
  <si>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</si>
  <si>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</si>
  <si>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</si>
  <si>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</si>
  <si>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</si>
  <si>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</si>
  <si>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</si>
  <si>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</si>
  <si>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</si>
  <si>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</si>
  <si>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</si>
  <si>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</si>
  <si>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</si>
  <si>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</si>
  <si>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</si>
  <si>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</si>
  <si>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</si>
  <si>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</si>
  <si>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</si>
  <si>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</si>
  <si>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</si>
  <si>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</si>
  <si>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</si>
  <si>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</si>
  <si>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</si>
  <si>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</si>
  <si>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</si>
  <si>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</si>
  <si>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</si>
  <si>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</si>
  <si>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</si>
  <si>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</si>
  <si>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</si>
  <si>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</si>
  <si>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</si>
  <si>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</si>
  <si>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</si>
  <si>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</si>
  <si>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</si>
  <si>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</si>
  <si>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</si>
  <si>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</si>
  <si>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</si>
  <si>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</si>
  <si>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</si>
  <si>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</si>
  <si>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</si>
  <si>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</si>
  <si>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</si>
  <si>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</si>
  <si>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</si>
  <si>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</si>
  <si>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</si>
  <si>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</si>
  <si>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</si>
  <si>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</si>
  <si>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</si>
  <si>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</si>
  <si>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</si>
  <si>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</si>
  <si>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</si>
  <si>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</si>
  <si>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</si>
  <si>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</si>
  <si>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</si>
  <si>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</si>
  <si>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</si>
  <si>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</si>
  <si>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</si>
  <si>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</si>
  <si>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</si>
  <si>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</si>
  <si>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</si>
  <si>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</si>
  <si>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</si>
  <si>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</si>
  <si>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</si>
  <si>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</si>
  <si>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</si>
  <si>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</si>
  <si>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</si>
  <si>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</si>
  <si>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</si>
  <si>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</si>
  <si>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</si>
  <si>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</si>
  <si>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</si>
  <si>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</si>
  <si>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</si>
  <si>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</si>
  <si>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</si>
  <si>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</si>
  <si>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</si>
  <si>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</si>
  <si>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</si>
  <si>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</si>
  <si>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</si>
  <si>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</si>
  <si>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</si>
  <si>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</si>
  <si>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</si>
  <si>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</si>
  <si>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</si>
  <si>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</si>
  <si>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</si>
  <si>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</si>
  <si>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</si>
  <si>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</si>
  <si>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</si>
  <si>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</si>
  <si>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</si>
  <si>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</si>
  <si>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</si>
  <si>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</si>
  <si>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</si>
  <si>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</si>
  <si>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</si>
  <si>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</si>
  <si>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</si>
  <si>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</si>
  <si>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</si>
  <si>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</si>
  <si>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</si>
  <si>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</si>
  <si>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</si>
  <si>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</si>
  <si>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</si>
  <si>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</si>
  <si>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</si>
  <si>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</si>
  <si>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</si>
  <si>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</si>
  <si>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</si>
  <si>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</si>
  <si>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</si>
  <si>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</si>
  <si>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</si>
  <si>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</si>
  <si>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</si>
  <si>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</si>
  <si>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</si>
  <si>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</si>
  <si>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</si>
  <si>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</si>
  <si>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</si>
  <si>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</si>
  <si>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</si>
  <si>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</si>
  <si>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</si>
  <si>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</si>
  <si>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</si>
  <si>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</si>
  <si>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</si>
  <si>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</si>
  <si>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</si>
  <si>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</si>
  <si>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</si>
  <si>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</si>
  <si>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</si>
  <si>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</si>
  <si>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</si>
  <si>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</si>
  <si>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</si>
  <si>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</si>
  <si>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</si>
  <si>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</si>
  <si>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</si>
  <si>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</si>
  <si>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</si>
  <si>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</si>
  <si>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</si>
  <si>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</si>
  <si>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</si>
  <si>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</si>
  <si>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</si>
  <si>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</si>
  <si>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</si>
  <si>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</si>
  <si>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</si>
  <si>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</si>
  <si>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</si>
  <si>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</si>
  <si>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</si>
  <si>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</si>
  <si>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</si>
  <si>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</si>
  <si>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</si>
  <si>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</si>
  <si>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</si>
  <si>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</si>
  <si>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</si>
  <si>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</si>
  <si>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</si>
  <si>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</si>
  <si>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</si>
  <si>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</si>
  <si>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</si>
  <si>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</si>
  <si>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</si>
  <si>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</si>
  <si>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</si>
  <si>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</si>
  <si>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</si>
  <si>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</si>
  <si>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</si>
  <si>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</si>
  <si>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</si>
  <si>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</si>
  <si>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</si>
  <si>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</si>
  <si>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</si>
  <si>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</si>
  <si>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</si>
  <si>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</si>
  <si>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</si>
  <si>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</si>
  <si>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</si>
  <si>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</si>
  <si>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</si>
  <si>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</si>
  <si>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</si>
  <si>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</si>
  <si>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</si>
  <si>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</si>
  <si>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</si>
  <si>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</si>
  <si>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</si>
  <si>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</si>
  <si>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</si>
  <si>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</si>
  <si>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</si>
  <si>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</si>
  <si>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</si>
  <si>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</si>
  <si>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</si>
  <si>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</si>
  <si>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</si>
  <si>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</si>
  <si>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</si>
  <si>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</si>
  <si>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</si>
  <si>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</si>
  <si>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</si>
  <si>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</si>
  <si>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</si>
  <si>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</si>
  <si>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</si>
  <si>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</si>
  <si>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</si>
  <si>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</si>
  <si>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</si>
  <si>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</si>
  <si>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</si>
  <si>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</si>
  <si>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</si>
  <si>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</si>
  <si>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</si>
  <si>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</si>
  <si>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</si>
  <si>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</si>
  <si>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</si>
  <si>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</si>
  <si>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</si>
  <si>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</si>
  <si>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</si>
  <si>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</si>
  <si>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</si>
  <si>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</si>
  <si>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</si>
  <si>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</si>
  <si>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</si>
  <si>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</si>
  <si>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</si>
  <si>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</si>
  <si>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</si>
  <si>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</si>
  <si>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</si>
  <si>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</si>
  <si>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</si>
  <si>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</si>
  <si>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</si>
  <si>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</si>
  <si>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</si>
  <si>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</si>
  <si>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</si>
  <si>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</si>
  <si>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</si>
  <si>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</si>
  <si>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</si>
  <si>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</si>
  <si>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</si>
  <si>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</si>
  <si>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</si>
  <si>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</si>
  <si>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</si>
  <si>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</si>
  <si>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</si>
  <si>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</si>
  <si>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</si>
  <si>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</si>
  <si>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</si>
  <si>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</si>
  <si>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</si>
  <si>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</si>
  <si>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</si>
  <si>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</si>
  <si>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</si>
  <si>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</si>
  <si>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</si>
  <si>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</si>
  <si>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</si>
  <si>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</si>
  <si>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</si>
  <si>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</si>
  <si>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</si>
  <si>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</si>
  <si>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</si>
  <si>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</si>
  <si>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</si>
  <si>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</si>
  <si>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</si>
  <si>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</si>
  <si>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</si>
  <si>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</si>
  <si>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</si>
  <si>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</si>
  <si>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</si>
  <si>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</si>
  <si>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</si>
  <si>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</si>
  <si>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</si>
  <si>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</si>
  <si>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</si>
  <si>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</si>
  <si>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</si>
  <si>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</si>
  <si>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</si>
  <si>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</si>
  <si>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</si>
  <si>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</si>
  <si>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</si>
  <si>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</si>
  <si>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</si>
  <si>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</si>
  <si>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</si>
  <si>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</si>
  <si>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</si>
  <si>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</si>
  <si>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</si>
  <si>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</si>
  <si>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</si>
  <si>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</si>
  <si>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</si>
  <si>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</si>
  <si>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</si>
  <si>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</si>
  <si>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</si>
  <si>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</si>
  <si>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</si>
  <si>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</si>
  <si>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</si>
  <si>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</si>
  <si>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</si>
  <si>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</si>
  <si>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</si>
  <si>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</si>
  <si>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</si>
  <si>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</si>
  <si>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</si>
  <si>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</si>
  <si>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</si>
  <si>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</si>
  <si>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</si>
  <si>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</si>
  <si>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</si>
  <si>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</si>
  <si>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</si>
  <si>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</si>
  <si>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</si>
  <si>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</si>
  <si>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</si>
  <si>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</si>
  <si>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</si>
  <si>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</si>
  <si>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</si>
  <si>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</si>
  <si>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</si>
  <si>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</si>
  <si>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</si>
  <si>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</si>
  <si>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</si>
  <si>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</si>
  <si>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</si>
  <si>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</si>
  <si>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</si>
  <si>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</si>
  <si>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</si>
  <si>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</si>
  <si>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</si>
  <si>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</si>
  <si>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</si>
  <si>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</si>
  <si>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</si>
  <si>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</si>
  <si>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</si>
  <si>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</si>
  <si>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</si>
  <si>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</si>
  <si>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</si>
  <si>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</si>
  <si>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</si>
  <si>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</si>
  <si>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</si>
  <si>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</si>
  <si>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</si>
  <si>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</si>
  <si>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</si>
  <si>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</si>
  <si>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</si>
  <si>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</si>
  <si>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</si>
  <si>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</si>
  <si>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</si>
  <si>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</si>
  <si>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</si>
  <si>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</si>
  <si>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</si>
  <si>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</si>
  <si>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</si>
  <si>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</si>
  <si>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</si>
  <si>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</si>
  <si>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</si>
  <si>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</si>
  <si>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</si>
  <si>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</si>
  <si>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</si>
  <si>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</si>
  <si>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</si>
  <si>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</si>
  <si>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</si>
  <si>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</si>
  <si>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</si>
  <si>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</si>
  <si>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</si>
  <si>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</si>
  <si>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</si>
  <si>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</si>
  <si>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</si>
  <si>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</si>
  <si>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</si>
  <si>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</si>
  <si>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</si>
  <si>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</si>
  <si>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</si>
  <si>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</si>
  <si>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</si>
  <si>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</si>
  <si>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</si>
  <si>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</si>
  <si>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</si>
  <si>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</si>
  <si>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</si>
  <si>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</si>
  <si>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</si>
  <si>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</si>
  <si>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</si>
  <si>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</si>
  <si>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</si>
  <si>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</si>
  <si>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</si>
  <si>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</si>
  <si>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</si>
  <si>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</si>
  <si>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</si>
  <si>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</si>
  <si>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</si>
  <si>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</si>
  <si>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</si>
  <si>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</si>
  <si>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</si>
  <si>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</si>
  <si>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</si>
  <si>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</si>
  <si>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</si>
  <si>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</si>
  <si>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</si>
  <si>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</si>
  <si>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</si>
  <si>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</si>
  <si>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</si>
  <si>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</si>
  <si>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</si>
  <si>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</si>
  <si>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</si>
  <si>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</si>
  <si>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</si>
  <si>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</si>
  <si>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</si>
  <si>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</si>
  <si>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</si>
  <si>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</si>
  <si>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</si>
  <si>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</si>
  <si>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</si>
  <si>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</si>
  <si>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</si>
  <si>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</si>
  <si>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</si>
  <si>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</si>
  <si>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</si>
  <si>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</si>
  <si>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</si>
  <si>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</si>
  <si>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</si>
  <si>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</si>
  <si>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</si>
  <si>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</si>
  <si>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</si>
  <si>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</si>
  <si>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</si>
  <si>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</si>
  <si>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</si>
  <si>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</si>
  <si>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</si>
  <si>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</si>
  <si>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</si>
  <si>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</si>
  <si>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</si>
  <si>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</si>
  <si>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</si>
  <si>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</si>
  <si>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</si>
  <si>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</si>
  <si>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</si>
  <si>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</si>
  <si>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</si>
  <si>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</si>
  <si>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</si>
  <si>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</si>
  <si>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</si>
  <si>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</si>
  <si>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</si>
  <si>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</si>
  <si>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</si>
  <si>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</si>
  <si>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</si>
  <si>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</si>
  <si>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</si>
  <si>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</si>
  <si>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</si>
  <si>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</si>
  <si>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</si>
  <si>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</si>
  <si>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</si>
  <si>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</si>
  <si>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</si>
  <si>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</si>
  <si>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</si>
  <si>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</si>
  <si>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</si>
  <si>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</si>
  <si>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</si>
  <si>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</si>
  <si>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</si>
  <si>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</si>
  <si>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</si>
  <si>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</si>
  <si>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</si>
  <si>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</si>
  <si>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</si>
  <si>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</si>
  <si>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</si>
  <si>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</si>
  <si>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</si>
  <si>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</si>
  <si>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</si>
  <si>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</si>
  <si>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</si>
  <si>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</si>
  <si>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</si>
  <si>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</si>
  <si>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</si>
  <si>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</si>
  <si>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</si>
  <si>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</si>
  <si>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</si>
  <si>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</si>
  <si>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</si>
  <si>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</si>
  <si>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</si>
  <si>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</si>
  <si>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</si>
  <si>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</si>
  <si>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</si>
  <si>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</si>
  <si>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</si>
  <si>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</si>
  <si>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</si>
  <si>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</si>
  <si>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</si>
  <si>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</si>
  <si>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</si>
  <si>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</si>
  <si>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</si>
  <si>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</si>
  <si>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</si>
  <si>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</si>
  <si>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</si>
  <si>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</si>
  <si>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</si>
  <si>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</si>
  <si>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</si>
  <si>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</si>
  <si>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</si>
  <si>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</si>
  <si>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</si>
  <si>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</si>
  <si>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</si>
  <si>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</si>
  <si>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</si>
  <si>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</si>
  <si>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</si>
  <si>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</si>
  <si>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</si>
  <si>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</si>
  <si>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</si>
  <si>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</si>
  <si>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</si>
  <si>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</si>
  <si>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</si>
  <si>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</si>
  <si>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</si>
  <si>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</si>
  <si>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</si>
  <si>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</si>
  <si>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</si>
  <si>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</si>
  <si>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</si>
  <si>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</si>
  <si>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</si>
  <si>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</si>
  <si>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</si>
  <si>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</si>
  <si>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</si>
  <si>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</si>
  <si>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</si>
  <si>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</si>
  <si>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</si>
  <si>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</si>
  <si>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</si>
  <si>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</si>
  <si>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</si>
  <si>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</si>
  <si>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</si>
  <si>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</si>
  <si>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</si>
  <si>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</si>
  <si>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</si>
  <si>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</si>
  <si>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</si>
  <si>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</si>
  <si>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</si>
  <si>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</si>
  <si>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</si>
  <si>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</si>
  <si>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</si>
  <si>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</si>
  <si>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</si>
  <si>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</si>
  <si>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</si>
  <si>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</si>
  <si>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</si>
  <si>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</si>
  <si>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</si>
  <si>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</si>
  <si>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</si>
  <si>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</si>
  <si>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</si>
  <si>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</si>
  <si>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</si>
  <si>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</si>
  <si>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</si>
  <si>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</si>
  <si>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</si>
  <si>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</si>
  <si>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</si>
  <si>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</si>
  <si>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</si>
  <si>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</si>
  <si>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</si>
  <si>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</si>
  <si>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</si>
  <si>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</si>
  <si>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</si>
  <si>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</si>
  <si>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</si>
  <si>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</si>
  <si>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</si>
  <si>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</si>
  <si>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</si>
  <si>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</si>
  <si>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</si>
  <si>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</si>
  <si>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</si>
  <si>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</si>
  <si>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</si>
  <si>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</si>
  <si>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</si>
  <si>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</si>
  <si>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</si>
  <si>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</si>
  <si>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</si>
  <si>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</si>
  <si>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</si>
  <si>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</si>
  <si>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</si>
  <si>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</si>
  <si>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</si>
  <si>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</si>
  <si>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</si>
  <si>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</si>
  <si>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</si>
  <si>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</si>
  <si>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</si>
  <si>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</si>
  <si>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</si>
  <si>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</si>
  <si>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</si>
  <si>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</si>
  <si>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</si>
  <si>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</si>
  <si>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</si>
  <si>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</si>
  <si>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</si>
  <si>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</si>
  <si>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</si>
  <si>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</si>
  <si>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</si>
  <si>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</si>
  <si>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</si>
  <si>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</si>
  <si>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</si>
  <si>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</si>
  <si>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</si>
  <si>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</si>
  <si>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</si>
  <si>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</si>
  <si>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</si>
  <si>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</si>
  <si>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</si>
  <si>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</si>
  <si>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</si>
  <si>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</si>
  <si>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</si>
  <si>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</si>
  <si>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</si>
  <si>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</si>
  <si>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</si>
  <si>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</si>
  <si>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</si>
  <si>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</si>
  <si>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</si>
  <si>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</si>
  <si>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</si>
  <si>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</si>
  <si>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</si>
  <si>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</si>
  <si>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</si>
  <si>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</si>
  <si>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</si>
  <si>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</si>
  <si>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</si>
  <si>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</si>
  <si>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</si>
  <si>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</si>
  <si>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</si>
  <si>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</si>
  <si>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</si>
  <si>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</si>
  <si>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</si>
  <si>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</si>
  <si>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</si>
  <si>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</si>
  <si>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</si>
  <si>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</si>
  <si>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</si>
  <si>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</si>
  <si>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</si>
  <si>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</si>
  <si>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</si>
  <si>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</si>
  <si>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</si>
  <si>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</si>
  <si>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</si>
  <si>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</si>
  <si>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</si>
  <si>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</si>
  <si>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</si>
  <si>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</si>
  <si>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</si>
  <si>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</si>
  <si>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</si>
  <si>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</si>
  <si>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</si>
  <si>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</si>
  <si>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</si>
  <si>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</si>
  <si>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</si>
  <si>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</si>
  <si>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</si>
  <si>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</si>
  <si>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</si>
  <si>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</si>
  <si>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</si>
  <si>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</si>
  <si>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</si>
  <si>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</si>
  <si>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</si>
  <si>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</si>
  <si>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</si>
  <si>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</si>
  <si>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</si>
  <si>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</si>
  <si>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</si>
  <si>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</si>
  <si>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</si>
  <si>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</si>
  <si>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</si>
  <si>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</si>
  <si>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</si>
  <si>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</si>
  <si>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</si>
  <si>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</si>
  <si>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</si>
  <si>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</si>
  <si>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</si>
  <si>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</si>
  <si>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</si>
  <si>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</si>
  <si>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</si>
  <si>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</si>
  <si>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</si>
  <si>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</si>
  <si>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</si>
  <si>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</si>
  <si>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</si>
  <si>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</si>
  <si>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</si>
  <si>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</si>
  <si>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</si>
  <si>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</si>
  <si>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</si>
  <si>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</si>
  <si>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</si>
  <si>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</si>
  <si>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</si>
  <si>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</si>
  <si>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</si>
  <si>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</si>
  <si>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</si>
  <si>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</si>
  <si>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</si>
  <si>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</si>
  <si>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</si>
  <si>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</si>
  <si>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</si>
  <si>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</si>
  <si>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</si>
  <si>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</si>
  <si>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</si>
  <si>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</si>
  <si>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</si>
  <si>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</si>
  <si>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</si>
  <si>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</si>
  <si>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</si>
  <si>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</si>
  <si>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</si>
  <si>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</si>
  <si>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</si>
  <si>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</si>
  <si>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</si>
  <si>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</si>
  <si>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</si>
  <si>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</si>
  <si>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</si>
  <si>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</si>
  <si>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</si>
  <si>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</si>
  <si>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</si>
  <si>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</si>
  <si>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</si>
  <si>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</si>
  <si>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</si>
  <si>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</si>
  <si>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</si>
  <si>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</si>
  <si>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</si>
  <si>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</si>
  <si>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</si>
  <si>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</si>
  <si>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</si>
  <si>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</si>
  <si>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</si>
  <si>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</si>
  <si>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</si>
  <si>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</si>
  <si>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</si>
  <si>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</si>
  <si>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</si>
  <si>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</si>
  <si>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</si>
  <si>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</si>
  <si>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</si>
  <si>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</si>
  <si>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</si>
  <si>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</si>
  <si>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</si>
  <si>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</si>
  <si>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</si>
  <si>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</si>
  <si>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</si>
  <si>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</si>
  <si>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</si>
  <si>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</si>
  <si>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</si>
  <si>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</si>
  <si>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</si>
  <si>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</si>
  <si>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</si>
  <si>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</si>
  <si>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</si>
  <si>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</si>
  <si>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</si>
  <si>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</si>
  <si>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</si>
  <si>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</si>
  <si>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</si>
  <si>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</si>
  <si>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</si>
  <si>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</si>
  <si>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</si>
  <si>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</si>
  <si>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</si>
  <si>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</si>
  <si>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</si>
  <si>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</si>
  <si>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</si>
  <si>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</si>
  <si>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</si>
  <si>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</si>
  <si>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</si>
  <si>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</si>
  <si>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</si>
  <si>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</si>
  <si>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</si>
  <si>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</si>
  <si>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</si>
  <si>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</si>
  <si>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</si>
  <si>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</si>
  <si>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</si>
  <si>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</si>
  <si>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</si>
  <si>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</si>
  <si>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</si>
  <si>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</si>
  <si>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</si>
  <si>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</si>
  <si>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</si>
  <si>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</si>
  <si>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</si>
  <si>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</si>
  <si>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</si>
  <si>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</si>
  <si>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</si>
  <si>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</si>
  <si>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</si>
  <si>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</si>
  <si>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</si>
  <si>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</si>
  <si>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</si>
  <si>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</si>
  <si>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</si>
  <si>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</si>
  <si>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</si>
  <si>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</si>
  <si>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</si>
  <si>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</si>
  <si>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</si>
  <si>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</si>
  <si>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</si>
  <si>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</si>
  <si>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</si>
  <si>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</si>
  <si>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</si>
  <si>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</si>
  <si>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</si>
  <si>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</si>
  <si>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</si>
  <si>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</si>
  <si>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</si>
  <si>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</si>
  <si>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</si>
  <si>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</si>
  <si>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</si>
  <si>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</si>
  <si>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</si>
  <si>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</si>
  <si>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</si>
  <si>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</si>
  <si>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</si>
  <si>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</si>
  <si>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</si>
  <si>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</si>
  <si>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</si>
  <si>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INGUN Prüfmittelbau GmbH</t>
  </si>
  <si>
    <t>Malte Vogeltanz</t>
  </si>
  <si>
    <t>malte.vogeltanz@de.ingun.com</t>
  </si>
  <si>
    <t>+49 7531 8105 385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</si>
</sst>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47" xfId="0"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7"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malte.vogeltanz@de.ingun.com" TargetMode="External"/><Relationship Id="rId1" Type="http://schemas.openxmlformats.org/officeDocument/2006/relationships/hyperlink" Target="mailto:malte.vogeltanz@de.ingu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11" workbookViewId="0"/>
  </sheetViews>
  <sheetFormatPr baseColWidth="10"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50000000000003"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50000000000003"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49999999999997"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8"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95"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8"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0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0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5"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8.7265625"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6.2">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00000000000001"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57">
      <c r="A14" s="350"/>
      <c r="B14" s="227">
        <v>1.1000000000000001</v>
      </c>
      <c r="C14" s="228" t="s">
        <v>11911</v>
      </c>
      <c r="D14" s="251">
        <v>43455</v>
      </c>
      <c r="E14" s="229" t="s">
        <v>12726</v>
      </c>
      <c r="F14" s="229" t="s">
        <v>12507</v>
      </c>
      <c r="G14" s="28"/>
    </row>
    <row r="15" spans="1:7" ht="57">
      <c r="A15" s="350"/>
      <c r="B15" s="227">
        <v>2</v>
      </c>
      <c r="C15" s="228" t="s">
        <v>11911</v>
      </c>
      <c r="D15" s="251">
        <v>43768</v>
      </c>
      <c r="E15" s="229" t="s">
        <v>12804</v>
      </c>
      <c r="F15" s="229" t="s">
        <v>12805</v>
      </c>
      <c r="G15" s="28"/>
    </row>
    <row r="16" spans="1:7" ht="57">
      <c r="A16" s="350"/>
      <c r="B16" s="316">
        <v>2.1</v>
      </c>
      <c r="C16" s="317" t="s">
        <v>11911</v>
      </c>
      <c r="D16" s="318">
        <v>43964</v>
      </c>
      <c r="E16" s="319" t="s">
        <v>13794</v>
      </c>
      <c r="F16" s="319" t="s">
        <v>13795</v>
      </c>
      <c r="G16" s="28"/>
    </row>
    <row r="17" spans="1:7" ht="57">
      <c r="A17" s="350"/>
      <c r="B17" s="316">
        <v>2.11</v>
      </c>
      <c r="C17" s="317" t="s">
        <v>11911</v>
      </c>
      <c r="D17" s="318">
        <v>43970</v>
      </c>
      <c r="E17" s="319" t="s">
        <v>13874</v>
      </c>
      <c r="F17" s="319" t="s">
        <v>13795</v>
      </c>
      <c r="G17" s="28"/>
    </row>
    <row r="18" spans="1:7" ht="57">
      <c r="A18" s="350"/>
      <c r="B18" s="316">
        <v>2.2000000000000002</v>
      </c>
      <c r="C18" s="317" t="s">
        <v>11911</v>
      </c>
      <c r="D18" s="318">
        <v>44132</v>
      </c>
      <c r="E18" s="319" t="s">
        <v>13884</v>
      </c>
      <c r="F18" s="319" t="s">
        <v>13885</v>
      </c>
      <c r="G18" s="28"/>
    </row>
    <row r="19" spans="1:7" ht="13.2" thickBot="1">
      <c r="A19" s="351"/>
      <c r="B19" s="352" t="str">
        <f ca="1">OFFSET(L!$C$1,MATCH("General"&amp;"Cpy",L!$A:$A,0)-1,SL,,)</f>
        <v>© 2020 Responsible Minerals Initiative. All rights reserved.</v>
      </c>
      <c r="C19" s="352"/>
      <c r="D19" s="352"/>
      <c r="E19" s="352"/>
      <c r="F19" s="352"/>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6"/>
      <c r="B1" s="357"/>
      <c r="C1" s="357"/>
      <c r="D1" s="358"/>
    </row>
    <row r="2" spans="1:8" ht="16.2">
      <c r="A2" s="231"/>
      <c r="B2" s="232" t="str">
        <f ca="1">OFFSET(L!$C$1,MATCH("Definitions"&amp;ADDRESS(ROW(),COLUMN(),4),L!$A:$A,0)-1,SL,,)</f>
        <v>ITEM</v>
      </c>
      <c r="C2" s="232" t="str">
        <f ca="1">OFFSET(L!$C$1,MATCH("Definitions"&amp;ADDRESS(ROW(),COLUMN(),4),L!$A:$A,0)-1,SL,,)</f>
        <v>DEFINITION</v>
      </c>
      <c r="D2" s="360"/>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0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81">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0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6.2">
      <c r="A21" s="231"/>
      <c r="B21" s="359" t="str">
        <f ca="1">OFFSET(L!$C$1,MATCH("General"&amp;"Cpy",L!$A:$A,0)-1,SL,,)</f>
        <v>© 2020 Responsible Minerals Initiative. All rights reserved.</v>
      </c>
      <c r="C21" s="359"/>
      <c r="D21" s="360"/>
      <c r="E21" s="234"/>
    </row>
    <row r="22" spans="1:5" ht="13.2" thickBot="1">
      <c r="A22" s="235"/>
      <c r="B22" s="236"/>
      <c r="C22" s="236"/>
      <c r="D22" s="361"/>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30" workbookViewId="0">
      <selection activeCell="G22" sqref="G22"/>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82"/>
      <c r="B1" s="383"/>
      <c r="C1" s="383"/>
      <c r="D1" s="383"/>
      <c r="E1" s="383"/>
      <c r="F1" s="383"/>
      <c r="G1" s="383"/>
      <c r="H1" s="383"/>
      <c r="I1" s="383"/>
      <c r="J1" s="383"/>
      <c r="K1" s="384"/>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5" t="str">
        <f ca="1">OFFSET(L!$C$1,MATCH("Declaration"&amp;ADDRESS(ROW(),COLUMN(),4),L!$A:$A,0)-1,SL,,)</f>
        <v>Cobalt Reporting Template (CRT)</v>
      </c>
      <c r="E2" s="386"/>
      <c r="F2" s="386"/>
      <c r="G2" s="386"/>
      <c r="H2" s="386"/>
      <c r="I2" s="386"/>
      <c r="J2" s="387"/>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6"/>
      <c r="F3" s="367"/>
      <c r="G3" s="367"/>
      <c r="H3" s="367"/>
      <c r="I3" s="367"/>
      <c r="J3" s="253" t="s">
        <v>13887</v>
      </c>
      <c r="K3" s="35"/>
      <c r="L3" s="120"/>
      <c r="M3" s="111"/>
      <c r="N3" s="111"/>
      <c r="O3" s="112"/>
      <c r="P3" s="125">
        <f>MATCH($D$3,LN,0)</f>
        <v>1</v>
      </c>
    </row>
    <row r="4" spans="1:34" ht="16.2">
      <c r="A4" s="33"/>
      <c r="B4" s="391" t="str">
        <f ca="1">OFFSET(L!$C$1,MATCH("Declaration"&amp;ADDRESS(ROW(),COLUMN(),4),L!$A:$A,0)-1,SL,,)</f>
        <v>The purpose of this document is to collect sourcing information on cobalt.</v>
      </c>
      <c r="C4" s="391"/>
      <c r="D4" s="391"/>
      <c r="E4" s="391"/>
      <c r="F4" s="391"/>
      <c r="G4" s="391"/>
      <c r="H4" s="391"/>
      <c r="I4" s="395" t="str">
        <f ca="1">OFFSET(L!$C$1,MATCH("Declaration"&amp;ADDRESS(ROW(),COLUMN(),4),L!$A:$A,0)-1,SL,,)</f>
        <v>Link to Terms &amp; Conditions</v>
      </c>
      <c r="J4" s="395"/>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396" t="str">
        <f ca="1">OFFSET(L!$C$1,MATCH("Declaration"&amp;ADDRESS(ROW(),COLUMN(),4),L!$A:$A,0)-1,SL,,)</f>
        <v>Company Information</v>
      </c>
      <c r="C7" s="396"/>
      <c r="D7" s="396"/>
      <c r="E7" s="396"/>
      <c r="F7" s="396"/>
      <c r="G7" s="396"/>
      <c r="H7" s="396"/>
      <c r="I7" s="396"/>
      <c r="J7" s="396"/>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88" t="s">
        <v>14060</v>
      </c>
      <c r="E8" s="389"/>
      <c r="F8" s="389"/>
      <c r="G8" s="389"/>
      <c r="H8" s="389"/>
      <c r="I8" s="389"/>
      <c r="J8" s="390"/>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411" t="s">
        <v>377</v>
      </c>
      <c r="E9" s="412"/>
      <c r="F9" s="412"/>
      <c r="G9" s="413"/>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7" t="str">
        <f ca="1">OFFSET(L!$C$1,MATCH("Declaration"&amp;ADDRESS(ROW(),COLUMN(),4)&amp;LEFT($D$9,1),L!$A:$A,0)-1,SL,,)</f>
        <v>Description of Scope:</v>
      </c>
      <c r="C10" s="132"/>
      <c r="D10" s="392"/>
      <c r="E10" s="393"/>
      <c r="F10" s="393"/>
      <c r="G10" s="393"/>
      <c r="H10" s="393"/>
      <c r="I10" s="393"/>
      <c r="J10" s="394"/>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398"/>
      <c r="C11" s="132"/>
      <c r="D11" s="399" t="str">
        <f ca="1">IF(D9=Q9,OFFSET(L!$C$1,MATCH("Declaration"&amp;ADDRESS(ROW(),COLUMN(),4),L!$A:$A,0)-1,SL,,),"")</f>
        <v/>
      </c>
      <c r="E11" s="400"/>
      <c r="F11" s="400"/>
      <c r="G11" s="400"/>
      <c r="H11" s="400"/>
      <c r="I11" s="400"/>
      <c r="J11" s="401"/>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79"/>
      <c r="E12" s="377"/>
      <c r="F12" s="377"/>
      <c r="G12" s="377"/>
      <c r="H12" s="377"/>
      <c r="I12" s="377"/>
      <c r="J12" s="378"/>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79"/>
      <c r="E13" s="377"/>
      <c r="F13" s="377"/>
      <c r="G13" s="377"/>
      <c r="H13" s="377"/>
      <c r="I13" s="377"/>
      <c r="J13" s="378"/>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79"/>
      <c r="E14" s="377"/>
      <c r="F14" s="377"/>
      <c r="G14" s="377"/>
      <c r="H14" s="377"/>
      <c r="I14" s="377"/>
      <c r="J14" s="378"/>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79" t="s">
        <v>14061</v>
      </c>
      <c r="E15" s="377"/>
      <c r="F15" s="377"/>
      <c r="G15" s="377"/>
      <c r="H15" s="377"/>
      <c r="I15" s="377"/>
      <c r="J15" s="378"/>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76" t="s">
        <v>14062</v>
      </c>
      <c r="E16" s="377"/>
      <c r="F16" s="377"/>
      <c r="G16" s="377"/>
      <c r="H16" s="377"/>
      <c r="I16" s="377"/>
      <c r="J16" s="378"/>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79" t="s">
        <v>14063</v>
      </c>
      <c r="E17" s="377"/>
      <c r="F17" s="377"/>
      <c r="G17" s="377"/>
      <c r="H17" s="377"/>
      <c r="I17" s="377"/>
      <c r="J17" s="378"/>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79" t="s">
        <v>14061</v>
      </c>
      <c r="E18" s="377"/>
      <c r="F18" s="377"/>
      <c r="G18" s="377"/>
      <c r="H18" s="377"/>
      <c r="I18" s="377"/>
      <c r="J18" s="378"/>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79"/>
      <c r="E19" s="377"/>
      <c r="F19" s="377"/>
      <c r="G19" s="377"/>
      <c r="H19" s="377"/>
      <c r="I19" s="377"/>
      <c r="J19" s="378"/>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76" t="s">
        <v>14062</v>
      </c>
      <c r="E20" s="377"/>
      <c r="F20" s="377"/>
      <c r="G20" s="377"/>
      <c r="H20" s="377"/>
      <c r="I20" s="377"/>
      <c r="J20" s="378"/>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379"/>
      <c r="E21" s="377"/>
      <c r="F21" s="377"/>
      <c r="G21" s="377"/>
      <c r="H21" s="377"/>
      <c r="I21" s="377"/>
      <c r="J21" s="378"/>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14">
        <v>44162</v>
      </c>
      <c r="E22" s="415"/>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410"/>
      <c r="E23" s="410"/>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62" t="str">
        <f ca="1">OFFSET(L!$C$1,MATCH("Declaration"&amp;ADDRESS(ROW(),COLUMN(),4),L!$A:$A,0)-1,SL,,)</f>
        <v>Answer the following questions 1 - 6 based on the declaration scope indicated above</v>
      </c>
      <c r="C24" s="362"/>
      <c r="D24" s="362"/>
      <c r="E24" s="362"/>
      <c r="F24" s="362"/>
      <c r="G24" s="362"/>
      <c r="H24" s="362"/>
      <c r="I24" s="362"/>
      <c r="J24" s="36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407" t="str">
        <f ca="1">OFFSET(L!$C$1,MATCH("Declaration"&amp;ADDRESS(ROW(),COLUMN(),4),L!$A:$A,0)-1,SL,,)</f>
        <v>Answer</v>
      </c>
      <c r="E25" s="407"/>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74" t="s">
        <v>371</v>
      </c>
      <c r="E26" s="375"/>
      <c r="F26" s="10"/>
      <c r="G26" s="363"/>
      <c r="H26" s="364"/>
      <c r="I26" s="364"/>
      <c r="J26" s="365"/>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8" t="s">
        <v>372</v>
      </c>
      <c r="E27" s="369"/>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8" t="s">
        <v>372</v>
      </c>
      <c r="E28" s="369"/>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8" t="s">
        <v>372</v>
      </c>
      <c r="E29" s="369"/>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1" t="str">
        <f ca="1">D25</f>
        <v>Answer</v>
      </c>
      <c r="E31" s="381"/>
      <c r="F31" s="16"/>
      <c r="G31" s="43" t="str">
        <f ca="1">G25</f>
        <v>Comments</v>
      </c>
      <c r="H31" s="409"/>
      <c r="I31" s="409"/>
      <c r="J31" s="409"/>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74" t="s">
        <v>373</v>
      </c>
      <c r="E32" s="375"/>
      <c r="F32" s="46"/>
      <c r="G32" s="363"/>
      <c r="H32" s="364"/>
      <c r="I32" s="364"/>
      <c r="J32" s="365"/>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8"/>
      <c r="E33" s="369"/>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74"/>
      <c r="E34" s="375"/>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74"/>
      <c r="E35" s="375"/>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5" customHeight="1">
      <c r="A37" s="40"/>
      <c r="B37" s="43" t="str">
        <f ca="1">OFFSET(L!$C$1,MATCH("Declaration"&amp;ADDRESS(ROW(),COLUMN(),4),L!$A:$A,0)-1,SL,,)&amp;Q31</f>
        <v>3) Does 100 percent of the cobalt originate from recycled or scrap sources? (*)</v>
      </c>
      <c r="C37" s="8"/>
      <c r="D37" s="381" t="str">
        <f ca="1">D25</f>
        <v>Answer</v>
      </c>
      <c r="E37" s="38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74" t="s">
        <v>373</v>
      </c>
      <c r="E38" s="375"/>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8"/>
      <c r="E39" s="369"/>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8"/>
      <c r="E40" s="369"/>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8"/>
      <c r="E41" s="369"/>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81" t="str">
        <f ca="1">D25</f>
        <v>Answer</v>
      </c>
      <c r="E43" s="38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72" t="s">
        <v>1303</v>
      </c>
      <c r="E44" s="373"/>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70"/>
      <c r="E45" s="371"/>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70"/>
      <c r="E46" s="371"/>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70"/>
      <c r="E47" s="371"/>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5) Have you identified all of the smelters supplying the cobalt to your supply chain? (*)</v>
      </c>
      <c r="C49" s="8"/>
      <c r="D49" s="381" t="str">
        <f ca="1">D25</f>
        <v>Answer</v>
      </c>
      <c r="E49" s="381"/>
      <c r="F49" s="16"/>
      <c r="G49" s="43" t="str">
        <f ca="1">G25</f>
        <v>Comments</v>
      </c>
      <c r="H49" s="380"/>
      <c r="I49" s="380"/>
      <c r="J49" s="38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402" t="s">
        <v>372</v>
      </c>
      <c r="E50" s="403"/>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8"/>
      <c r="E51" s="369"/>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8"/>
      <c r="E52" s="369"/>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8"/>
      <c r="E53" s="369"/>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6) Has all applicable smelter information received by your company been reported in this declaration? (*)</v>
      </c>
      <c r="C55" s="8"/>
      <c r="D55" s="381" t="str">
        <f ca="1">D25</f>
        <v>Answer</v>
      </c>
      <c r="E55" s="381"/>
      <c r="F55" s="16"/>
      <c r="G55" s="43" t="str">
        <f ca="1">G25</f>
        <v>Comments</v>
      </c>
      <c r="H55" s="380" t="str">
        <f>IF(Q63="(*)","Click here to enter smelter names","")</f>
        <v/>
      </c>
      <c r="I55" s="380"/>
      <c r="J55" s="38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74" t="s">
        <v>372</v>
      </c>
      <c r="E56" s="375"/>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8"/>
      <c r="E57" s="369"/>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8"/>
      <c r="E58" s="369"/>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8"/>
      <c r="E59" s="369"/>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19" t="str">
        <f ca="1">OFFSET(L!$C$1,MATCH("Declaration"&amp;ADDRESS(ROW(),COLUMN(),4),L!$A:$A,0)-1,SL,,)</f>
        <v>Answer the Following Questions at a Company Level</v>
      </c>
      <c r="C61" s="419"/>
      <c r="D61" s="419"/>
      <c r="E61" s="419"/>
      <c r="F61" s="419"/>
      <c r="G61" s="419"/>
      <c r="H61" s="419"/>
      <c r="I61" s="419"/>
      <c r="J61" s="419"/>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407" t="str">
        <f ca="1">D25</f>
        <v>Answer</v>
      </c>
      <c r="E62" s="407"/>
      <c r="F62" s="52"/>
      <c r="G62" s="407" t="str">
        <f ca="1">G25</f>
        <v>Comments</v>
      </c>
      <c r="H62" s="407" t="e">
        <f>HLOOKUP(SL,LT,$O62,0)</f>
        <v>#NAME?</v>
      </c>
      <c r="I62" s="407"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4" t="s">
        <v>372</v>
      </c>
      <c r="E63" s="375"/>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408"/>
      <c r="H64" s="408"/>
      <c r="I64" s="408"/>
      <c r="J64" s="408"/>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4" t="s">
        <v>372</v>
      </c>
      <c r="E65" s="375"/>
      <c r="F65" s="56"/>
      <c r="G65" s="404"/>
      <c r="H65" s="405"/>
      <c r="I65" s="405"/>
      <c r="J65" s="406"/>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4" t="s">
        <v>372</v>
      </c>
      <c r="E67" s="375"/>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5" customHeight="1">
      <c r="A69" s="40"/>
      <c r="B69" s="55" t="str">
        <f ca="1">OFFSET(L!$C$1,MATCH("Declaration"&amp;ADDRESS(ROW(),COLUMN(),4),L!$A:$A,0)-1,SL,,)&amp;P32</f>
        <v>D. Do you require suppliers to exercise due diligence over the cobalt supply chain in accordance with the OECD Due Diligence Guidance? (*)</v>
      </c>
      <c r="C69" s="56"/>
      <c r="D69" s="374" t="s">
        <v>372</v>
      </c>
      <c r="E69" s="375"/>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4" t="s">
        <v>372</v>
      </c>
      <c r="E71" s="375"/>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0" t="s">
        <v>372</v>
      </c>
      <c r="E73" s="421"/>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408"/>
      <c r="H74" s="408"/>
      <c r="I74" s="408"/>
      <c r="J74" s="408"/>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5" customHeight="1">
      <c r="A75" s="40"/>
      <c r="B75" s="55" t="str">
        <f ca="1">OFFSET(L!$C$1,MATCH("Declaration"&amp;ADDRESS(ROW(),COLUMN(),4),L!$A:$A,0)-1,SL,,)&amp;P32</f>
        <v>G. Does your company conduct cobalt supply chain survey(s) of your relevant supplier(s)? (*)</v>
      </c>
      <c r="C75" s="56"/>
      <c r="D75" s="374" t="s">
        <v>12572</v>
      </c>
      <c r="E75" s="375"/>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422"/>
      <c r="H76" s="422"/>
      <c r="I76" s="422"/>
      <c r="J76" s="42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4" t="s">
        <v>372</v>
      </c>
      <c r="E77" s="375"/>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4" t="s">
        <v>372</v>
      </c>
      <c r="E79" s="375"/>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18" t="str">
        <f>IF(OR($D$8="",$I$3=""),"","Click here to check required fields completion")</f>
        <v/>
      </c>
      <c r="C80" s="418"/>
      <c r="D80" s="418"/>
      <c r="E80" s="418"/>
      <c r="F80" s="418"/>
      <c r="G80" s="418"/>
      <c r="H80" s="418"/>
      <c r="I80" s="418"/>
      <c r="J80" s="418"/>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16" t="str">
        <f ca="1">OFFSET(L!$C$1,MATCH("General"&amp;"Cpy",L!$A:$A,0)-1,SL,,)</f>
        <v>© 2020 Responsible Minerals Initiative. All rights reserved.</v>
      </c>
      <c r="B81" s="417"/>
      <c r="C81" s="417"/>
      <c r="D81" s="417"/>
      <c r="E81" s="417"/>
      <c r="F81" s="417"/>
      <c r="G81" s="417"/>
      <c r="H81" s="417"/>
      <c r="I81" s="417"/>
      <c r="J81" s="417"/>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2" priority="58" stopIfTrue="1">
      <formula>OR($D$26="No",$D$26="Unknown")</formula>
    </cfRule>
    <cfRule type="expression" dxfId="91" priority="59" stopIfTrue="1">
      <formula>IF(D63="",TRUE)</formula>
    </cfRule>
  </conditionalFormatting>
  <conditionalFormatting sqref="D26:E26">
    <cfRule type="expression" dxfId="90" priority="110" stopIfTrue="1">
      <formula>IF($D$26="",TRUE)</formula>
    </cfRule>
  </conditionalFormatting>
  <conditionalFormatting sqref="D27:E27">
    <cfRule type="expression" dxfId="89" priority="117" stopIfTrue="1">
      <formula>IF($D$27="",TRUE)</formula>
    </cfRule>
  </conditionalFormatting>
  <conditionalFormatting sqref="D8:J8">
    <cfRule type="expression" dxfId="88" priority="124" stopIfTrue="1">
      <formula>IF($D$8="",TRUE)</formula>
    </cfRule>
  </conditionalFormatting>
  <conditionalFormatting sqref="D9:G9">
    <cfRule type="expression" dxfId="87" priority="125" stopIfTrue="1">
      <formula>IF($D$9="",TRUE)</formula>
    </cfRule>
  </conditionalFormatting>
  <conditionalFormatting sqref="D15:J15">
    <cfRule type="expression" dxfId="86" priority="126" stopIfTrue="1">
      <formula>IF($D$15="",TRUE)</formula>
    </cfRule>
  </conditionalFormatting>
  <conditionalFormatting sqref="D16:J16">
    <cfRule type="expression" dxfId="85" priority="127" stopIfTrue="1">
      <formula>IF($D$16="",TRUE)</formula>
    </cfRule>
  </conditionalFormatting>
  <conditionalFormatting sqref="D17:J17">
    <cfRule type="expression" dxfId="84" priority="128" stopIfTrue="1">
      <formula>IF($D$17="",TRUE)</formula>
    </cfRule>
  </conditionalFormatting>
  <conditionalFormatting sqref="D18:J18">
    <cfRule type="expression" dxfId="83" priority="129" stopIfTrue="1">
      <formula>IF($D$18="",TRUE)</formula>
    </cfRule>
  </conditionalFormatting>
  <conditionalFormatting sqref="D22:E22">
    <cfRule type="expression" dxfId="82" priority="132" stopIfTrue="1">
      <formula>IF($D$22="",TRUE)</formula>
    </cfRule>
  </conditionalFormatting>
  <conditionalFormatting sqref="D10:J10">
    <cfRule type="expression" dxfId="81" priority="29" stopIfTrue="1">
      <formula>IF($D$9=$Q$9,TRUE)</formula>
    </cfRule>
    <cfRule type="expression" dxfId="80" priority="139" stopIfTrue="1">
      <formula>IF(AND($D$10="",$D$9=$R$9),TRUE)</formula>
    </cfRule>
  </conditionalFormatting>
  <conditionalFormatting sqref="D34:E34 D40:E40 D46:E46 D52:E52 D58:E58">
    <cfRule type="expression" dxfId="79" priority="22" stopIfTrue="1">
      <formula>$P$28=""</formula>
    </cfRule>
  </conditionalFormatting>
  <conditionalFormatting sqref="D35:E35 D41:E41 D47:E47 D53:E53 D59:E59">
    <cfRule type="expression" dxfId="78" priority="137" stopIfTrue="1">
      <formula>$P$29=""</formula>
    </cfRule>
  </conditionalFormatting>
  <conditionalFormatting sqref="D34 D40 D46 D52 D58">
    <cfRule type="expression" dxfId="77" priority="135" stopIfTrue="1">
      <formula>IF(AND(OR($D$28="Yes",$D$28=""),D34=""),1,0)</formula>
    </cfRule>
  </conditionalFormatting>
  <conditionalFormatting sqref="D32:E32 D38:E38 D44:E44 D50:E50 D56:E56">
    <cfRule type="expression" dxfId="76" priority="26" stopIfTrue="1">
      <formula>IF(AND(OR($D$26="No",$D$26="Unknown"),D32=""),1,0)</formula>
    </cfRule>
    <cfRule type="expression" dxfId="75" priority="27" stopIfTrue="1">
      <formula>IF(AND(OR($D$26="Yes",$D$26=""),D32=""),1,0)</formula>
    </cfRule>
  </conditionalFormatting>
  <conditionalFormatting sqref="G73:J73">
    <cfRule type="expression" dxfId="74" priority="20" stopIfTrue="1">
      <formula>IF(AND($D$73="Yes, using other format (describe)",$G$73=""),TRUE)</formula>
    </cfRule>
  </conditionalFormatting>
  <conditionalFormatting sqref="D33:E33 D39:E39 D45:E45 D51:E51 D57:E57">
    <cfRule type="expression" dxfId="73" priority="133" stopIfTrue="1">
      <formula>$P$33=""</formula>
    </cfRule>
    <cfRule type="expression" dxfId="72" priority="134" stopIfTrue="1">
      <formula>IF(AND(OR($D$27="Yes",$D$27=""),D33=""),1,0)</formula>
    </cfRule>
  </conditionalFormatting>
  <conditionalFormatting sqref="D35:E35 D41:E41 D47:E47 D53:E53 D59:E59">
    <cfRule type="expression" dxfId="71" priority="138" stopIfTrue="1">
      <formula>IF(AND(OR($D$29="Yes",$D$29=""),D35=""),1,0)</formula>
    </cfRule>
  </conditionalFormatting>
  <conditionalFormatting sqref="D20:J20">
    <cfRule type="expression" dxfId="70" priority="8" stopIfTrue="1">
      <formula>IF($D$20="",TRUE)</formula>
    </cfRule>
  </conditionalFormatting>
  <conditionalFormatting sqref="D27 D33 D39 D45 D51 D57">
    <cfRule type="expression" dxfId="69" priority="7" stopIfTrue="1">
      <formula>IF($D$27="No",TRUE)</formula>
    </cfRule>
  </conditionalFormatting>
  <conditionalFormatting sqref="D28 D34 D40 D46 D52 D58">
    <cfRule type="expression" dxfId="68" priority="6">
      <formula>IF($D$28="No",TRUE)</formula>
    </cfRule>
  </conditionalFormatting>
  <conditionalFormatting sqref="D29 D35 D41 D47 D53 D59">
    <cfRule type="expression" dxfId="67" priority="5">
      <formula>IF($D$29="No",TRUE)</formula>
    </cfRule>
  </conditionalFormatting>
  <conditionalFormatting sqref="G63:J63">
    <cfRule type="expression" dxfId="66" priority="2">
      <formula>IF(AND($D$63="Yes",$G$63=""),TRUE)</formula>
    </cfRule>
  </conditionalFormatting>
  <conditionalFormatting sqref="G75:J75">
    <cfRule type="expression" dxfId="65"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D4E514E9-E711-4EE8-9D13-9BD06481F90A}"/>
    <hyperlink ref="D20" r:id="rId2" xr:uid="{006266CA-C309-452B-80C2-635CCDF7DAD6}"/>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C8" sqref="C8"/>
    </sheetView>
  </sheetViews>
  <sheetFormatPr baseColWidth="10"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9"/>
      <c r="B2" s="198" t="str">
        <f ca="1">OFFSET(L!$C$1,MATCH("Smelter List"&amp;ADDRESS(ROW(),COLUMN(),4),L!$A:$A,0)-1,SL,,)</f>
        <v>TO BEGIN:</v>
      </c>
      <c r="C2" s="170"/>
      <c r="D2" s="170"/>
      <c r="E2" s="170"/>
      <c r="F2" s="207"/>
      <c r="G2" s="207"/>
      <c r="H2" s="207"/>
      <c r="I2" s="208"/>
      <c r="J2" s="423"/>
      <c r="K2" s="424"/>
      <c r="L2" s="424"/>
      <c r="M2" s="424"/>
      <c r="N2" s="424"/>
      <c r="O2" s="424"/>
      <c r="P2" s="209"/>
      <c r="Q2" s="210"/>
      <c r="R2" s="211"/>
      <c r="S2" s="211"/>
      <c r="T2" s="211"/>
      <c r="U2" s="165"/>
      <c r="V2" s="165"/>
      <c r="W2" s="166"/>
      <c r="X2" s="165"/>
      <c r="Y2" s="165"/>
      <c r="Z2" s="165"/>
      <c r="AH2" s="153" t="s">
        <v>371</v>
      </c>
    </row>
    <row r="3" spans="1:34" s="20" customFormat="1" ht="241.05" customHeight="1">
      <c r="A3" s="280"/>
      <c r="B3" s="425"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5"/>
      <c r="D3" s="425"/>
      <c r="E3" s="425"/>
      <c r="F3" s="212"/>
      <c r="G3" s="426" t="str">
        <f ca="1">OFFSET(L!$C$1,MATCH("General"&amp;"Cpy",L!$A:$A,0)-1,SL,,)</f>
        <v>© 2020 Responsible Minerals Initiative. All rights reserved.</v>
      </c>
      <c r="H3" s="426"/>
      <c r="I3" s="427"/>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399999999999999">
      <c r="A5" s="349" t="s">
        <v>12002</v>
      </c>
      <c r="B5" s="191" t="str">
        <f ca="1">IF(LEN(A5)=0,"",INDEX('Smelter Look-up'!$A:$A,MATCH($A5,'Smelter Look-up'!$E:$E,0)))</f>
        <v>Cobalt</v>
      </c>
      <c r="C5" s="197" t="str">
        <f ca="1">IF(LEN(A5)=0,"",INDEX('Smelter Look-up'!$C:$C,MATCH($A5,'Smelter Look-up'!$E:$E,0)))</f>
        <v>Umicore Olen</v>
      </c>
      <c r="D5" s="191"/>
      <c r="E5" s="191" t="str">
        <f ca="1">IF(ISERROR($V5),"",OFFSET('Smelter Look-up'!$D$4,$V5-4,0)&amp;"")</f>
        <v>BELGIUM</v>
      </c>
      <c r="F5" s="191" t="str">
        <f ca="1">IF(ISERROR($V5),"",OFFSET('Smelter Look-up'!$E$4,$V5-4,0))</f>
        <v>CID003228</v>
      </c>
      <c r="G5" s="191" t="str">
        <f ca="1">IF(C5=$X$4,"Enter smelter details",IF(ISERROR($V5),"",OFFSET('Smelter Look-up'!$F$4,$V5-4,0)))</f>
        <v>RMI</v>
      </c>
      <c r="H5" s="192">
        <f ca="1">IF(ISERROR($V5),"",OFFSET('Smelter Look-up'!$G$4,$V5-4,0))</f>
        <v>0</v>
      </c>
      <c r="I5" s="193" t="str">
        <f ca="1">IF(ISERROR($V5),"",OFFSET('Smelter Look-up'!$H$4,$V5-4,0))</f>
        <v>Olen</v>
      </c>
      <c r="J5" s="193" t="str">
        <f ca="1">IF(ISERROR($V5),"",OFFSET('Smelter Look-up'!$I$4,$V5-4,0))</f>
        <v>Antwerpen</v>
      </c>
      <c r="K5" s="195"/>
      <c r="L5" s="195"/>
      <c r="M5" s="195"/>
      <c r="N5" s="195"/>
      <c r="O5" s="195"/>
      <c r="P5" s="194"/>
      <c r="Q5" s="196"/>
      <c r="R5" s="191" t="str">
        <f ca="1">IF(ISERROR($V5),"",OFFSET('Smelter Look-up'!$C$4,$V5-4,0)&amp;"")</f>
        <v>Umicore Olen</v>
      </c>
      <c r="S5" s="200" t="str">
        <f t="shared" ref="S5:S64" ca="1" si="0">IF(B5="","",IF(ISERROR(MATCH($E5,CL,0)),"Unknown",INDIRECT("'C'!$A$"&amp;MATCH($E5,CL,0)+1)))</f>
        <v>BE</v>
      </c>
      <c r="T5" s="200" t="str">
        <f ca="1">IF(B5="","",IF(ISERROR(MATCH($J5,SorP!$B$1:$B$6230,0)),"",INDIRECT("'SorP'!$A$"&amp;MATCH($J5,SorP!$B$1:$B$6230,0))))</f>
        <v>BE-VAN</v>
      </c>
      <c r="U5" s="217"/>
      <c r="V5" s="218">
        <f ca="1">IF(C5="",NA(),MATCH($B5&amp;$C5,'Smelter Look-up'!$J:$J,0))</f>
        <v>85</v>
      </c>
      <c r="W5" s="219"/>
      <c r="X5" s="219">
        <f t="shared" ref="X5:X63" ca="1" si="1">IF(AND(C5="Smelter not listed",OR(LEN(D5)=0,LEN(E5)=0)),1,0)</f>
        <v>0</v>
      </c>
      <c r="Y5" s="219"/>
      <c r="Z5" s="219"/>
      <c r="AB5" s="220" t="str">
        <f t="shared" ref="AB5:AB63" ca="1" si="2">B5&amp;C5</f>
        <v>CobaltUmicore Olen</v>
      </c>
    </row>
    <row r="6" spans="1:34" s="220" customFormat="1" ht="20.399999999999999">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399999999999999">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399999999999999">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399999999999999">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399999999999999">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399999999999999">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399999999999999">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399999999999999">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399999999999999">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399999999999999">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399999999999999">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399999999999999">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399999999999999">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399999999999999">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399999999999999">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399999999999999">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399999999999999">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399999999999999">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399999999999999">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399999999999999">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399999999999999">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399999999999999">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399999999999999">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399999999999999">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399999999999999">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399999999999999">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399999999999999">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399999999999999">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399999999999999">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399999999999999">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399999999999999">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399999999999999">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399999999999999">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399999999999999">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399999999999999">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399999999999999">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399999999999999">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399999999999999">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399999999999999">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399999999999999">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399999999999999">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399999999999999">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399999999999999">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399999999999999">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399999999999999">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399999999999999">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399999999999999">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399999999999999">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399999999999999">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399999999999999">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399999999999999">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399999999999999">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399999999999999">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399999999999999">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399999999999999">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399999999999999">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399999999999999">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399999999999999">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399999999999999">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399999999999999">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399999999999999">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399999999999999">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399999999999999">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399999999999999">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399999999999999">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399999999999999">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399999999999999">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399999999999999">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399999999999999">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399999999999999">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399999999999999">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399999999999999">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399999999999999">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399999999999999">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399999999999999">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399999999999999">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399999999999999">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399999999999999">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399999999999999">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399999999999999">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399999999999999">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399999999999999">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399999999999999">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399999999999999">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399999999999999">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399999999999999">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399999999999999">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399999999999999">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399999999999999">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399999999999999">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399999999999999">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399999999999999">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399999999999999">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399999999999999">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399999999999999">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399999999999999">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399999999999999">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399999999999999">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399999999999999">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399999999999999">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399999999999999">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399999999999999">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399999999999999">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399999999999999">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399999999999999">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399999999999999">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399999999999999">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399999999999999">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399999999999999">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399999999999999">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399999999999999">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399999999999999">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2" thickTop="1">
      <c r="U2501" s="221"/>
      <c r="V2501" s="221"/>
      <c r="W2501" s="221"/>
      <c r="X2501" s="221"/>
      <c r="Y2501" s="221"/>
      <c r="Z2501" s="221"/>
    </row>
    <row r="2502" spans="1:35" ht="13.2"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4" priority="21" stopIfTrue="1">
      <formula>IF(B5="",TRUE)</formula>
    </cfRule>
  </conditionalFormatting>
  <conditionalFormatting sqref="D5:D2498">
    <cfRule type="expression" dxfId="63" priority="15" stopIfTrue="1">
      <formula>IF(AND(LEN($C5) &gt;0, ($C5 &lt;&gt; "Smelter Not Listed")),1,0)</formula>
    </cfRule>
    <cfRule type="expression" dxfId="62" priority="40" stopIfTrue="1">
      <formula>IF(AND(D5="",$C5=$X$4),TRUE)</formula>
    </cfRule>
    <cfRule type="expression" dxfId="61" priority="41" stopIfTrue="1">
      <formula>IF(FIND("!",D5),TRUE)</formula>
    </cfRule>
  </conditionalFormatting>
  <conditionalFormatting sqref="G5:G2498">
    <cfRule type="expression" dxfId="60" priority="42" stopIfTrue="1">
      <formula>IF(FIND("Enter smelter details",G5),TRUE)</formula>
    </cfRule>
  </conditionalFormatting>
  <conditionalFormatting sqref="R5:R2498 E5:E2498">
    <cfRule type="expression" dxfId="59" priority="28" stopIfTrue="1">
      <formula>IF(AND(E5="",$C5=$X$4),TRUE)</formula>
    </cfRule>
    <cfRule type="expression" dxfId="58" priority="29" stopIfTrue="1">
      <formula>IF(FIND("!",E5),TRUE)</formula>
    </cfRule>
  </conditionalFormatting>
  <conditionalFormatting sqref="F5:F2498">
    <cfRule type="expression" dxfId="57" priority="19" stopIfTrue="1">
      <formula>IF(AND(LEN($A5)&gt;0,$A5&lt;&gt;$F5),TRUE,FALSE)</formula>
    </cfRule>
  </conditionalFormatting>
  <conditionalFormatting sqref="C5:C2500">
    <cfRule type="expression" dxfId="56" priority="18" stopIfTrue="1">
      <formula>IF(AND(#REF!&lt;&gt;"",C5=""),TRUE)</formula>
    </cfRule>
  </conditionalFormatting>
  <conditionalFormatting sqref="A53">
    <cfRule type="expression" priority="11">
      <formula>$A$5:$Q1996&lt;&gt;""</formula>
    </cfRule>
  </conditionalFormatting>
  <conditionalFormatting sqref="B2499:B2500">
    <cfRule type="expression" dxfId="55" priority="5" stopIfTrue="1">
      <formula>IF(B2499="",TRUE)</formula>
    </cfRule>
  </conditionalFormatting>
  <conditionalFormatting sqref="D2499:D2500">
    <cfRule type="expression" dxfId="54" priority="2" stopIfTrue="1">
      <formula>IF(AND(LEN($C2499) &gt;0, ($C2499 &lt;&gt; "Smelter Not Listed")),1,0)</formula>
    </cfRule>
    <cfRule type="expression" dxfId="53" priority="8" stopIfTrue="1">
      <formula>IF(AND(D2499="",$C2499=$X$4),TRUE)</formula>
    </cfRule>
    <cfRule type="expression" dxfId="52" priority="9" stopIfTrue="1">
      <formula>IF(FIND("!",D2499),TRUE)</formula>
    </cfRule>
  </conditionalFormatting>
  <conditionalFormatting sqref="G2499:G2500">
    <cfRule type="expression" dxfId="51" priority="10" stopIfTrue="1">
      <formula>IF(FIND("Enter smelter details",G2499),TRUE)</formula>
    </cfRule>
  </conditionalFormatting>
  <conditionalFormatting sqref="R2499:R2500 E2499:E2500">
    <cfRule type="expression" dxfId="50" priority="6" stopIfTrue="1">
      <formula>IF(AND(E2499="",$C2499=$X$4),TRUE)</formula>
    </cfRule>
    <cfRule type="expression" dxfId="49" priority="7" stopIfTrue="1">
      <formula>IF(FIND("!",E2499),TRUE)</formula>
    </cfRule>
  </conditionalFormatting>
  <conditionalFormatting sqref="F2499:F2500">
    <cfRule type="expression" dxfId="48" priority="4" stopIfTrue="1">
      <formula>IF(AND(LEN($A2499)&gt;0,$A2499&lt;&gt;$F2499),TRUE,FALSE)</formula>
    </cfRule>
  </conditionalFormatting>
  <conditionalFormatting sqref="A5">
    <cfRule type="expression" dxfId="47" priority="1" stopIfTrue="1">
      <formula>IF(AND(LEN($A5)&gt;0,$A5&lt;&gt;$F5),TRUE,FALSE)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tabSelected="1"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28" t="str">
        <f ca="1">OFFSET(L!$C$1,MATCH("Checker"&amp;ADDRESS(ROW(),COLUMN(),4),L!$A:$A,0)-1,SL,,)</f>
        <v>To ensure all required fields have been populated before submitting to your customers review form for any line items highlighted in red</v>
      </c>
      <c r="B1" s="428"/>
      <c r="C1" s="428"/>
      <c r="D1" s="127" t="str">
        <f ca="1">OFFSET(L!$C$1,MATCH("Checker"&amp;ADDRESS(ROW(),COLUMN(),4),L!$A:$A,0)-1,SL,,)</f>
        <v>Required fields remaining to be completed</v>
      </c>
      <c r="E1" s="74" t="s">
        <v>439</v>
      </c>
    </row>
    <row r="2" spans="1:10" ht="16.2">
      <c r="A2" s="67" t="s">
        <v>484</v>
      </c>
      <c r="B2" s="68" t="str">
        <f>IF(F57=1,"Click here to return to Smelter List","")</f>
        <v>Click here to return to Smelter List</v>
      </c>
      <c r="C2" s="131" t="str">
        <f>IF(F56=1,"Click here to return to Product List","")</f>
        <v/>
      </c>
      <c r="D2" s="158" t="str">
        <f ca="1">IF(H62=0,"0",H62)</f>
        <v>0</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INGUN Prüfmittelbau GmbH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Malte Vogeltanz</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malte.vogeltanz@de.ingun.com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+49 7531 8105 385</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Malte Vogeltanz</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malte.vogeltanz@de.ingun.com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f>Declaration!D21</f>
        <v>0</v>
      </c>
      <c r="C12" s="90" t="str">
        <f ca="1">IF(H12=1,J12,I12)</f>
        <v>Complete</v>
      </c>
      <c r="D12" s="96" t="str">
        <f>IF(H12=1,"Click here to enter Representative's phone","")</f>
        <v/>
      </c>
      <c r="E12" s="74" t="s">
        <v>744</v>
      </c>
      <c r="F12" s="94"/>
      <c r="G12" s="71">
        <f>IF(B12=0,1,0)</f>
        <v>1</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44162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0.4">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Unknown</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t="str">
        <f>Declaration!D44</f>
        <v>50% or less</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5) Have you identified all of the smelters supplying the cobalt to your supply chain? (*)</v>
      </c>
      <c r="B34" s="93"/>
      <c r="C34" s="93"/>
      <c r="D34" s="97"/>
      <c r="E34" s="74" t="s">
        <v>441</v>
      </c>
      <c r="F34" s="94"/>
      <c r="G34" s="19"/>
      <c r="H34" s="19"/>
    </row>
    <row r="35" spans="1:10" ht="51.6">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No</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C27" sqref="C27"/>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30" t="str">
        <f ca="1">OFFSET(L!$C$1,MATCH("Product List"&amp;ADDRESS(ROW(),COLUMN(),4),L!$A:$A,0)-1,SL,,)</f>
        <v>Completion required only if reporting level "Product (or List of Products)" selected on the 'Declaration' worksheet.</v>
      </c>
      <c r="B1" s="431"/>
      <c r="C1" s="431"/>
      <c r="D1" s="431"/>
      <c r="E1" s="126"/>
    </row>
    <row r="2" spans="1:35" ht="13.2">
      <c r="A2" s="23"/>
      <c r="B2" s="128"/>
      <c r="C2" s="128"/>
      <c r="D2"/>
      <c r="E2" s="24"/>
    </row>
    <row r="3" spans="1:35" ht="13.2">
      <c r="A3" s="23"/>
      <c r="B3" s="128"/>
      <c r="C3" s="128"/>
      <c r="D3" s="128"/>
      <c r="E3" s="24"/>
    </row>
    <row r="4" spans="1:35" ht="15.75" customHeight="1">
      <c r="A4" s="23"/>
      <c r="B4" s="429" t="s">
        <v>484</v>
      </c>
      <c r="C4" s="429"/>
      <c r="D4" s="429"/>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2" t="str">
        <f ca="1">OFFSET(L!$C$1,MATCH("General"&amp;"Cpy",L!$A:$A,0)-1,SL,,)</f>
        <v>© 2020 Responsible Minerals Initiative. All rights reserved.</v>
      </c>
      <c r="C1001" s="432"/>
      <c r="D1001" s="432"/>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3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c r="A2" s="434"/>
      <c r="B2" s="434"/>
      <c r="C2" s="434"/>
      <c r="D2" s="434"/>
      <c r="E2" s="434"/>
      <c r="F2" s="434"/>
      <c r="G2" s="434"/>
      <c r="H2" s="434"/>
      <c r="I2" s="434"/>
    </row>
    <row r="3" spans="1:13">
      <c r="A3" s="434"/>
      <c r="B3" s="434"/>
      <c r="C3" s="434"/>
      <c r="D3" s="434"/>
      <c r="E3" s="434"/>
      <c r="F3" s="434"/>
      <c r="G3" s="434"/>
      <c r="H3" s="434"/>
      <c r="I3" s="434"/>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10.4">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1.4">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82.8">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1.4">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1.4">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10.4">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17.39999999999998">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0.8">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24.2">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20.8">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38">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0.2">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27.6">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0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69">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69">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96.6">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5.2">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2.8">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6">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6">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9">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6">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6">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2.8">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Malte Vogeltanz</cp:lastModifiedBy>
  <cp:lastPrinted>2015-04-21T20:47:43Z</cp:lastPrinted>
  <dcterms:created xsi:type="dcterms:W3CDTF">2010-06-21T21:00:23Z</dcterms:created>
  <dcterms:modified xsi:type="dcterms:W3CDTF">2020-11-27T10:22:57Z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